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2120" windowHeight="4140" tabRatio="534" firstSheet="0" activeTab="0"/>
  </bookViews>
  <sheets>
    <sheet name="Tasación" sheetId="1" r:id="rId1"/>
    <sheet name="Edificaciones" sheetId="2" r:id="rId2"/>
    <sheet name="Comparables" sheetId="3" r:id="rId3"/>
    <sheet name="Mercado" sheetId="4" r:id="rId4"/>
    <sheet name="Anexos" sheetId="5" r:id="rId5"/>
    <sheet name="Lista" sheetId="6" state="hidden" r:id="rId6"/>
    <sheet name="TemplateInformation" sheetId="7" state="veryHidden" r:id="rId7"/>
  </sheets>
  <definedNames>
    <definedName name="_xlnm.Print_Titles" localSheetId="2">'Comparables'!$1:$2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<sst xmlns="http://schemas.openxmlformats.org/spreadsheetml/2006/main" count="1143" uniqueCount="530">
  <si>
    <t>Objetivo :</t>
  </si>
  <si>
    <t>Tasador :</t>
  </si>
  <si>
    <t>ANTECEDENTES BASICOS</t>
  </si>
  <si>
    <t>RUT :</t>
  </si>
  <si>
    <t>Tipo Bien  :</t>
  </si>
  <si>
    <t>Uso :</t>
  </si>
  <si>
    <t>Dirección  :</t>
  </si>
  <si>
    <t>Nº :</t>
  </si>
  <si>
    <t>Piso :</t>
  </si>
  <si>
    <t>Calle ...</t>
  </si>
  <si>
    <t>Comuna :</t>
  </si>
  <si>
    <t>SUPERFICIES Y VALORACION</t>
  </si>
  <si>
    <t>Un.</t>
  </si>
  <si>
    <t>$ / m2</t>
  </si>
  <si>
    <t>Total en $</t>
  </si>
  <si>
    <t>TERRENO</t>
  </si>
  <si>
    <t>m2</t>
  </si>
  <si>
    <t>$</t>
  </si>
  <si>
    <t>EDIFICACION Y OO.CC.</t>
  </si>
  <si>
    <t>Clase</t>
  </si>
  <si>
    <t>Calid.</t>
  </si>
  <si>
    <t>Estado</t>
  </si>
  <si>
    <t>C.Esp.</t>
  </si>
  <si>
    <t>Año</t>
  </si>
  <si>
    <t>GL</t>
  </si>
  <si>
    <t>VALOR DE TASACION =</t>
  </si>
  <si>
    <t>Fecha Tasación :</t>
  </si>
  <si>
    <t>OBSERVACIONES DEL TASADOR</t>
  </si>
  <si>
    <t>Insertar foto exterior o más representativa del bien</t>
  </si>
  <si>
    <t>OTROS</t>
  </si>
  <si>
    <t>Observaciones:</t>
  </si>
  <si>
    <t>Nivel Socio-económico :</t>
  </si>
  <si>
    <t>Calidad Ambiental :</t>
  </si>
  <si>
    <t>m.</t>
  </si>
  <si>
    <t>Colegios :</t>
  </si>
  <si>
    <t>a</t>
  </si>
  <si>
    <t>Electricidad :</t>
  </si>
  <si>
    <t>Casas</t>
  </si>
  <si>
    <t>Deptos.</t>
  </si>
  <si>
    <t>Locales</t>
  </si>
  <si>
    <t>Estacionam.</t>
  </si>
  <si>
    <t>Oficinas</t>
  </si>
  <si>
    <t>Bodegas</t>
  </si>
  <si>
    <t>Edificación :</t>
  </si>
  <si>
    <t>Superficie :</t>
  </si>
  <si>
    <t>Descripción:</t>
  </si>
  <si>
    <t>Adosamiento :</t>
  </si>
  <si>
    <t>Calidad :</t>
  </si>
  <si>
    <t>Hall Acceso</t>
  </si>
  <si>
    <t>Estar-Comedor</t>
  </si>
  <si>
    <t>Estar</t>
  </si>
  <si>
    <t>Comedor</t>
  </si>
  <si>
    <t>Baños</t>
  </si>
  <si>
    <t>Cocina</t>
  </si>
  <si>
    <t>Clase :</t>
  </si>
  <si>
    <t>Piscina :</t>
  </si>
  <si>
    <t>Estac. descubierto :</t>
  </si>
  <si>
    <t>Jardines :</t>
  </si>
  <si>
    <t>FECHA</t>
  </si>
  <si>
    <t>DIRECCION</t>
  </si>
  <si>
    <t>M2 Terr.</t>
  </si>
  <si>
    <t>AutoTemplateWizardDONTMESSWITHIT</t>
  </si>
  <si>
    <t>Tipo de base de datos:</t>
  </si>
  <si>
    <t>Excel 5.0</t>
  </si>
  <si>
    <t>Ubicación de la base de datos:</t>
  </si>
  <si>
    <t>Reserved</t>
  </si>
  <si>
    <t>Número de tablas:</t>
  </si>
  <si>
    <t>Nombre de la tabla:</t>
  </si>
  <si>
    <t>Número de campos:</t>
  </si>
  <si>
    <t>Nombre del campo:</t>
  </si>
  <si>
    <t>Hace referencia a:</t>
  </si>
  <si>
    <t>Ubicación</t>
  </si>
  <si>
    <t>Nº</t>
  </si>
  <si>
    <t>Piso</t>
  </si>
  <si>
    <t>Comuna</t>
  </si>
  <si>
    <t>Región</t>
  </si>
  <si>
    <t>Plano</t>
  </si>
  <si>
    <t>Coordenadas</t>
  </si>
  <si>
    <t>Uso</t>
  </si>
  <si>
    <t>Dist. Colegios</t>
  </si>
  <si>
    <t>Forma Terr.</t>
  </si>
  <si>
    <t>Mercado Objetivo :</t>
  </si>
  <si>
    <t>Oferta :</t>
  </si>
  <si>
    <t>Demanda :</t>
  </si>
  <si>
    <t>Interés por el sector :</t>
  </si>
  <si>
    <t>Riesgo de obtener menor valor :</t>
  </si>
  <si>
    <t>FALTAN REFERENCIAS DE VALOR</t>
  </si>
  <si>
    <t>Velocidad Arriendo :</t>
  </si>
  <si>
    <t>Velocidad Venta :</t>
  </si>
  <si>
    <t>Agua Potable :</t>
  </si>
  <si>
    <t>RESUMEN DE LA MUESTRA</t>
  </si>
  <si>
    <t>Transparencia del mercado :</t>
  </si>
  <si>
    <t>Solicitante :</t>
  </si>
  <si>
    <t>Superficie</t>
  </si>
  <si>
    <t>Frente</t>
  </si>
  <si>
    <t>Fondo</t>
  </si>
  <si>
    <t>años</t>
  </si>
  <si>
    <t>PROPIEDAD</t>
  </si>
  <si>
    <t>Comercialización</t>
  </si>
  <si>
    <t>Antigüedad</t>
  </si>
  <si>
    <t>Conservación</t>
  </si>
  <si>
    <t>Coefic. corrector</t>
  </si>
  <si>
    <t>EDIFICACION</t>
  </si>
  <si>
    <t>Plano :</t>
  </si>
  <si>
    <t>Uso Predominante :</t>
  </si>
  <si>
    <t>DESCRIPCION DE LA PROPIEDAD</t>
  </si>
  <si>
    <t>FIRMA DEL TASADOR</t>
  </si>
  <si>
    <t>Entrepisos :</t>
  </si>
  <si>
    <t>Escaleras :</t>
  </si>
  <si>
    <t>Artef. Baños :</t>
  </si>
  <si>
    <t>Artef. Cocina :</t>
  </si>
  <si>
    <t>Cielos :</t>
  </si>
  <si>
    <t>Tabiquerías :</t>
  </si>
  <si>
    <t>Term. Interior :</t>
  </si>
  <si>
    <t>Termin. Exterior  :</t>
  </si>
  <si>
    <t>Pavimentos :</t>
  </si>
  <si>
    <t>Gas :</t>
  </si>
  <si>
    <t>Observaciones :</t>
  </si>
  <si>
    <t>Tipología</t>
  </si>
  <si>
    <t>Edad media :</t>
  </si>
  <si>
    <t>Fuente :</t>
  </si>
  <si>
    <t>Vistas :</t>
  </si>
  <si>
    <t>EDIFICACION Y OO.CC. =</t>
  </si>
  <si>
    <t>% Ocup. suelo :</t>
  </si>
  <si>
    <t>Orientación :</t>
  </si>
  <si>
    <t>OBRAS COMPLEMENTARIAS</t>
  </si>
  <si>
    <t>Programa :</t>
  </si>
  <si>
    <t>Entorno Inmediato :</t>
  </si>
  <si>
    <t>Accesibilidad :</t>
  </si>
  <si>
    <t>Comercialización :</t>
  </si>
  <si>
    <t>Tipología :</t>
  </si>
  <si>
    <t>Tamaño :</t>
  </si>
  <si>
    <t>Terreno :</t>
  </si>
  <si>
    <t xml:space="preserve">CARACTERISTICAS DEL EDIFICIO - CONDOMINIO </t>
  </si>
  <si>
    <t>Cierro Exterior :</t>
  </si>
  <si>
    <t>Constructibilidad :</t>
  </si>
  <si>
    <t>Dist.</t>
  </si>
  <si>
    <t>CARACTERISTICAS DE LA EDIFICACION Nº</t>
  </si>
  <si>
    <t>CARACTERISTICAS DEL MERCADO</t>
  </si>
  <si>
    <t>ANALISIS DE LOS VALORES DE PROPIEDADES COMPARABLES</t>
  </si>
  <si>
    <t>SINTESIS DE LAS PROPIEDADES COMPARABLES</t>
  </si>
  <si>
    <t>COMENTARIOS</t>
  </si>
  <si>
    <t>Entorno Inmediato</t>
  </si>
  <si>
    <t>Calidad Ambiental</t>
  </si>
  <si>
    <t>Accesibilidad</t>
  </si>
  <si>
    <t>Tamaño</t>
  </si>
  <si>
    <t>Constructibilidad</t>
  </si>
  <si>
    <t>Clase / calidad</t>
  </si>
  <si>
    <t>Tipo Propiedad :</t>
  </si>
  <si>
    <t>Fono :</t>
  </si>
  <si>
    <t>Fecha :</t>
  </si>
  <si>
    <t>Dirección :</t>
  </si>
  <si>
    <t xml:space="preserve">PROPIEDAD COMPARABLE Nº </t>
  </si>
  <si>
    <t>Detalle Edificaciones</t>
  </si>
  <si>
    <t>Análisis de Propiedades Comparables</t>
  </si>
  <si>
    <t>Análisis del Mercado</t>
  </si>
  <si>
    <t>ANALISIS DE LA PROPIEDAD A TASAR RESPECTO A SU MERCADO OBJETIVO</t>
  </si>
  <si>
    <t>Escritura Propiedad :</t>
  </si>
  <si>
    <t>Medidas a Huincha :</t>
  </si>
  <si>
    <t>pisos</t>
  </si>
  <si>
    <t>Calzada :</t>
  </si>
  <si>
    <t>Aceras :</t>
  </si>
  <si>
    <t xml:space="preserve"> Aceptabilidad de las edificaciones :</t>
  </si>
  <si>
    <t>(VALORES EN UF)</t>
  </si>
  <si>
    <t>UF/m2</t>
  </si>
  <si>
    <t>CROQUIS Y FOTOGRAFIAS DE LA PROPIEDAD</t>
  </si>
  <si>
    <t>Forma Proporciones Topografía</t>
  </si>
  <si>
    <t>Comparación y homogeneización de características de la propiedad comparable en relación a la propiedad que se tasa</t>
  </si>
  <si>
    <t>% Constr. :</t>
  </si>
  <si>
    <t>Distancia Esquina :</t>
  </si>
  <si>
    <t>Antigüedad y Conservación :</t>
  </si>
  <si>
    <t>Clase y calidad material :</t>
  </si>
  <si>
    <t>Nº BD :</t>
  </si>
  <si>
    <t>TOTAL</t>
  </si>
  <si>
    <t>Valor  Ajustado UF/m2 :</t>
  </si>
  <si>
    <t>Eval, cualitativa</t>
  </si>
  <si>
    <t>Tendencia Valor Propiedades :</t>
  </si>
  <si>
    <t>Sitios-Parcelas</t>
  </si>
  <si>
    <t xml:space="preserve"> Techumbre :</t>
  </si>
  <si>
    <t>Estructura :</t>
  </si>
  <si>
    <t>Cubierta/Hojal. :</t>
  </si>
  <si>
    <t>Forma</t>
  </si>
  <si>
    <t>Antejardín :</t>
  </si>
  <si>
    <t>Depr.</t>
  </si>
  <si>
    <t>Aceptabilidad :</t>
  </si>
  <si>
    <t>Terreno</t>
  </si>
  <si>
    <t>Construcción</t>
  </si>
  <si>
    <t>Calidad</t>
  </si>
  <si>
    <t>Dormit.</t>
  </si>
  <si>
    <t>Semejanza global</t>
  </si>
  <si>
    <t>Relación o</t>
  </si>
  <si>
    <t>Distancia a</t>
  </si>
  <si>
    <t xml:space="preserve"> Observaciones :</t>
  </si>
  <si>
    <t>Condiciones Venta :</t>
  </si>
  <si>
    <t>Coef. ponderado</t>
  </si>
  <si>
    <t>Propiedad (m)</t>
  </si>
  <si>
    <t>Precio Ajustado UF:</t>
  </si>
  <si>
    <t>Termin. Int. :</t>
  </si>
  <si>
    <t>Termin. Ext. :</t>
  </si>
  <si>
    <t>Ptas. y Vent.:</t>
  </si>
  <si>
    <t>Alcantarillado :</t>
  </si>
  <si>
    <t>Compactador Basura :</t>
  </si>
  <si>
    <t>Central A.Caliente :</t>
  </si>
  <si>
    <t>Calefacción :</t>
  </si>
  <si>
    <t>Calidad General :</t>
  </si>
  <si>
    <t>Promedios Matemáticos :</t>
  </si>
  <si>
    <t>MEDIANO DETERIORO</t>
  </si>
  <si>
    <t>Otros</t>
  </si>
  <si>
    <t>CONDICIONES ESPECIALES</t>
  </si>
  <si>
    <t>A</t>
  </si>
  <si>
    <t>SB</t>
  </si>
  <si>
    <t>B</t>
  </si>
  <si>
    <t>MS</t>
  </si>
  <si>
    <t>C</t>
  </si>
  <si>
    <t>PZ</t>
  </si>
  <si>
    <t>D</t>
  </si>
  <si>
    <t>CA</t>
  </si>
  <si>
    <t>E</t>
  </si>
  <si>
    <t>F</t>
  </si>
  <si>
    <t>G</t>
  </si>
  <si>
    <t>H</t>
  </si>
  <si>
    <t>OC</t>
  </si>
  <si>
    <t>OT</t>
  </si>
  <si>
    <t>POCO REMOZAM.</t>
  </si>
  <si>
    <t>MEDIANO REMOZAM.</t>
  </si>
  <si>
    <t>MUCHO REMOZAM.</t>
  </si>
  <si>
    <t>TOTAL REMOZAM.</t>
  </si>
  <si>
    <t>POCO DETERIORO</t>
  </si>
  <si>
    <t>MUCHO DETERIORO</t>
  </si>
  <si>
    <t>TOTAL DETERIORO</t>
  </si>
  <si>
    <t>I</t>
  </si>
  <si>
    <t>Precio Ajustado</t>
  </si>
  <si>
    <t>Tipo de dato :</t>
  </si>
  <si>
    <t>Precio en UF :</t>
  </si>
  <si>
    <t>Superficie (m2)</t>
  </si>
  <si>
    <t>Otros :</t>
  </si>
  <si>
    <t>D.F.L. 2 :</t>
  </si>
  <si>
    <t>Copropiedad :</t>
  </si>
  <si>
    <t>Nº de pisos :</t>
  </si>
  <si>
    <t>Dormitorios</t>
  </si>
  <si>
    <t xml:space="preserve"> CONSTRUCCION :</t>
  </si>
  <si>
    <t xml:space="preserve"> ESPECIFICACIONES TECNICAS</t>
  </si>
  <si>
    <t xml:space="preserve"> PLANIFICACION  :</t>
  </si>
  <si>
    <t>Recintos :</t>
  </si>
  <si>
    <t>Puertas. y Vent.:</t>
  </si>
  <si>
    <t xml:space="preserve">El profesional que firma declara que ha inspeccionado la propiedad por dentro y por fuera, que la información aquí señalada es totalmente verdadera, que todos los inconvenientes de la propiedad y su entorno están mencionados, y que no ha obviado nada que influya en el valor asignado. </t>
  </si>
  <si>
    <t>Declara que no ha tenido en el pasado o presente interés alguno en el bien tasado, ni relación alguna con el propietario o solicitante; y que no se hace responsable de los posibles vicios ocultos de la propiedad.</t>
  </si>
  <si>
    <t>Valor según tabla</t>
  </si>
  <si>
    <t>1 a 2 pisos</t>
  </si>
  <si>
    <t>REMOZAMIENTOS Y DETERIOROS</t>
  </si>
  <si>
    <t>%</t>
  </si>
  <si>
    <t>Velocidad cambio :</t>
  </si>
  <si>
    <t>Pisos</t>
  </si>
  <si>
    <t>Categoría :</t>
  </si>
  <si>
    <t>Cambio Uso :</t>
  </si>
  <si>
    <t>y</t>
  </si>
  <si>
    <t>Sala Uso Múltiple :</t>
  </si>
  <si>
    <t>Condición Especial :</t>
  </si>
  <si>
    <t>Estacion. Cubierto :</t>
  </si>
  <si>
    <t>Distancias a :</t>
  </si>
  <si>
    <t xml:space="preserve"> Densidad Población :</t>
  </si>
  <si>
    <t>LOCALIZACION : CARACTERISTICAS DEL SECTOR Y VECINDARIO</t>
  </si>
  <si>
    <t>CARACTERISTICAS DEL TERRENO Y NORMATIVA</t>
  </si>
  <si>
    <t>Red c/incendios :</t>
  </si>
  <si>
    <t>Equipo Electrógeno :</t>
  </si>
  <si>
    <t>Ponderación</t>
  </si>
  <si>
    <t>Funcionalidad</t>
  </si>
  <si>
    <t>Aporte valor (UF)</t>
  </si>
  <si>
    <t>Mayor y Mejor Uso :</t>
  </si>
  <si>
    <t>Planificación y Funcionalidad :</t>
  </si>
  <si>
    <t>Desviación estándar :</t>
  </si>
  <si>
    <t>Cantidad datos :</t>
  </si>
  <si>
    <t>alfa</t>
  </si>
  <si>
    <t>VALOR TASACION = UF</t>
  </si>
  <si>
    <t>Valor de la UF =</t>
  </si>
  <si>
    <t>Año Constr.:</t>
  </si>
  <si>
    <t>UF =</t>
  </si>
  <si>
    <t>Tabla1</t>
  </si>
  <si>
    <t xml:space="preserve">Tipo Bien </t>
  </si>
  <si>
    <t xml:space="preserve">Dirección </t>
  </si>
  <si>
    <t xml:space="preserve">Nº </t>
  </si>
  <si>
    <t>Tipo Unidad</t>
  </si>
  <si>
    <t>Nº Unidad</t>
  </si>
  <si>
    <t>Loteo-población</t>
  </si>
  <si>
    <t>Año Plano</t>
  </si>
  <si>
    <t xml:space="preserve"> Tipo Zona</t>
  </si>
  <si>
    <t>Uso Predominante Sector</t>
  </si>
  <si>
    <t>Cambio Uso Sector</t>
  </si>
  <si>
    <t>Altura pisos Sector</t>
  </si>
  <si>
    <t>Edad media Sector</t>
  </si>
  <si>
    <t>Calidad Ambiental Sector</t>
  </si>
  <si>
    <t>Dist. Moviliz</t>
  </si>
  <si>
    <t>Calzada</t>
  </si>
  <si>
    <t>Aceras</t>
  </si>
  <si>
    <t>Agua Potable</t>
  </si>
  <si>
    <t xml:space="preserve"> Electricidad</t>
  </si>
  <si>
    <t>Dist. calle ppal.</t>
  </si>
  <si>
    <t>Categoría Vía</t>
  </si>
  <si>
    <t>Dist. Esquina</t>
  </si>
  <si>
    <t>Antejardín</t>
  </si>
  <si>
    <t>Frente Terr.</t>
  </si>
  <si>
    <t>Fondo Terr.</t>
  </si>
  <si>
    <t>Superf. Terr.</t>
  </si>
  <si>
    <t>UF/m2 Terr.</t>
  </si>
  <si>
    <t>Clase1</t>
  </si>
  <si>
    <t>Calidad1</t>
  </si>
  <si>
    <t>C.Esp.1</t>
  </si>
  <si>
    <t>Pisos1</t>
  </si>
  <si>
    <t>Estado1</t>
  </si>
  <si>
    <t>Año1</t>
  </si>
  <si>
    <t>Dorm1</t>
  </si>
  <si>
    <t>Baños1</t>
  </si>
  <si>
    <t>Superf1</t>
  </si>
  <si>
    <t>UF/m2-1</t>
  </si>
  <si>
    <t>Clase2</t>
  </si>
  <si>
    <t>Calidad2</t>
  </si>
  <si>
    <t>C.Esp.2</t>
  </si>
  <si>
    <t>Pisos2</t>
  </si>
  <si>
    <t>Estado2</t>
  </si>
  <si>
    <t>Año2</t>
  </si>
  <si>
    <t>Superf2</t>
  </si>
  <si>
    <t>Valor UF</t>
  </si>
  <si>
    <t>Valor Prop. UF</t>
  </si>
  <si>
    <t>Nº Tasación</t>
  </si>
  <si>
    <t>Objetivo</t>
  </si>
  <si>
    <t>Tasador</t>
  </si>
  <si>
    <t>Rol SII</t>
  </si>
  <si>
    <t>Diseño Prop</t>
  </si>
  <si>
    <t>Calidad general</t>
  </si>
  <si>
    <t>Mantención</t>
  </si>
  <si>
    <t>Solicitante</t>
  </si>
  <si>
    <t>Rut</t>
  </si>
  <si>
    <t>Copropiedad</t>
  </si>
  <si>
    <t>Estado Edif.</t>
  </si>
  <si>
    <t>Relación terreno-Constr</t>
  </si>
  <si>
    <t>UF/m2-2</t>
  </si>
  <si>
    <t>Tipo Agrupación</t>
  </si>
  <si>
    <t xml:space="preserve">Velocidad cambio Sector </t>
  </si>
  <si>
    <t>Agrupación típica Sector</t>
  </si>
  <si>
    <t>Altura Sector</t>
  </si>
  <si>
    <t>Densidad Sector</t>
  </si>
  <si>
    <t>Densificación</t>
  </si>
  <si>
    <t>Calidad Edificación Sector</t>
  </si>
  <si>
    <t>Estado Conserv. Sector</t>
  </si>
  <si>
    <t>Tendencia Desarrollo Sector</t>
  </si>
  <si>
    <t>Densidad Población</t>
  </si>
  <si>
    <t>Densificación :</t>
  </si>
  <si>
    <t>Densidad :</t>
  </si>
  <si>
    <t>Altura :</t>
  </si>
  <si>
    <t>Estado Conserv. :</t>
  </si>
  <si>
    <t>Tendencia Desarrollo :</t>
  </si>
  <si>
    <t>Movilización :</t>
  </si>
  <si>
    <t>Relación Terreno/Edificación :</t>
  </si>
  <si>
    <t>Topografía :</t>
  </si>
  <si>
    <t>Diseño :</t>
  </si>
  <si>
    <t>Mantención :</t>
  </si>
  <si>
    <t>Adecuación a Características Sector - Uso :</t>
  </si>
  <si>
    <t>Factibles de Regularizar :</t>
  </si>
  <si>
    <t>Nivel Socio-económico</t>
  </si>
  <si>
    <t>Dist. Com./Serv.</t>
  </si>
  <si>
    <t>Dist. A.Verdes</t>
  </si>
  <si>
    <t>Tipo Moviliz.</t>
  </si>
  <si>
    <t>Urbanización</t>
  </si>
  <si>
    <t>Alcantarillado</t>
  </si>
  <si>
    <t>Calle principal</t>
  </si>
  <si>
    <t>Tipo Vía Acceso</t>
  </si>
  <si>
    <t>Topografía</t>
  </si>
  <si>
    <t>Ocupante de la Propiedad :</t>
  </si>
  <si>
    <t>Fecha</t>
  </si>
  <si>
    <t>Ocupante Prop.</t>
  </si>
  <si>
    <t>Altura</t>
  </si>
  <si>
    <t>=</t>
  </si>
  <si>
    <t>Máximo UF =</t>
  </si>
  <si>
    <t>Mínimo UF =</t>
  </si>
  <si>
    <t xml:space="preserve"> Franja de Valor</t>
  </si>
  <si>
    <t>Adecuación al Plan Regulador - Uso :</t>
  </si>
  <si>
    <t>CLASE</t>
  </si>
  <si>
    <t>% depr</t>
  </si>
  <si>
    <t>%max</t>
  </si>
  <si>
    <t>Ca</t>
  </si>
  <si>
    <t>Ea</t>
  </si>
  <si>
    <t>BUE</t>
  </si>
  <si>
    <t>ACERO</t>
  </si>
  <si>
    <t>HORM.ARMADO</t>
  </si>
  <si>
    <t>ALB. LADRILLO</t>
  </si>
  <si>
    <t>ALB. BLOQUE</t>
  </si>
  <si>
    <t>MADERA</t>
  </si>
  <si>
    <t>ADOBE</t>
  </si>
  <si>
    <t>PREF. ACERO</t>
  </si>
  <si>
    <t>PREF. MADERA</t>
  </si>
  <si>
    <t>PREF.HORMIGON</t>
  </si>
  <si>
    <t>ALB. NO ARMADA</t>
  </si>
  <si>
    <t>MAD.NO TRATADA</t>
  </si>
  <si>
    <t>OBRAS COMPLEM.</t>
  </si>
  <si>
    <t>SUBTERRANEO</t>
  </si>
  <si>
    <t>MANSARDA</t>
  </si>
  <si>
    <t>PISO ZOCALO</t>
  </si>
  <si>
    <t>CONST.ABIERTA</t>
  </si>
  <si>
    <t>INCONCLUSO</t>
  </si>
  <si>
    <t>EN CONSTRUC.</t>
  </si>
  <si>
    <t>MALO</t>
  </si>
  <si>
    <t>DEFICIENTE</t>
  </si>
  <si>
    <t>SATISFACTORIO</t>
  </si>
  <si>
    <t>BUENO</t>
  </si>
  <si>
    <t>NUEVO - S/USO</t>
  </si>
  <si>
    <t>NUE</t>
  </si>
  <si>
    <t>SAT</t>
  </si>
  <si>
    <t>DEF</t>
  </si>
  <si>
    <t>MAL</t>
  </si>
  <si>
    <t>E/C</t>
  </si>
  <si>
    <t>INC</t>
  </si>
  <si>
    <t>ESTADO CONSERVACION</t>
  </si>
  <si>
    <t>SUPERFICIE TERRENO EDIF</t>
  </si>
  <si>
    <t>MIN</t>
  </si>
  <si>
    <t>PROM</t>
  </si>
  <si>
    <t>MAX</t>
  </si>
  <si>
    <t>TERRENO PROPORCIONAL</t>
  </si>
  <si>
    <t>CALIDAD</t>
  </si>
  <si>
    <t>Agrupación :</t>
  </si>
  <si>
    <t>Termin.</t>
  </si>
  <si>
    <t>Instal.</t>
  </si>
  <si>
    <t>Efectiva :</t>
  </si>
  <si>
    <t>Edad : Real :</t>
  </si>
  <si>
    <t>SIN REMOZ. NI DETERIORO</t>
  </si>
  <si>
    <t>Estado : Terminaciones :</t>
  </si>
  <si>
    <t>Instalaciones :</t>
  </si>
  <si>
    <t>Instalaciones Especiales:</t>
  </si>
  <si>
    <t>Depreciación tope :</t>
  </si>
  <si>
    <t>UF</t>
  </si>
  <si>
    <t>Obras Complementarias</t>
  </si>
  <si>
    <t>Rol S.I.I. :</t>
  </si>
  <si>
    <t>Fuentes :</t>
  </si>
  <si>
    <t>Planos Propiedad / Loteo :</t>
  </si>
  <si>
    <r>
      <t xml:space="preserve">Relación Frente/fondo : </t>
    </r>
    <r>
      <rPr>
        <b/>
        <sz val="7"/>
        <rFont val="Arial"/>
        <family val="2"/>
      </rPr>
      <t xml:space="preserve">1/ </t>
    </r>
  </si>
  <si>
    <t>Area Verde :</t>
  </si>
  <si>
    <t>Ancho (m.) :</t>
  </si>
  <si>
    <t>Tipo Zona :</t>
  </si>
  <si>
    <t>Urbanización :</t>
  </si>
  <si>
    <r>
      <t xml:space="preserve"> Normativa</t>
    </r>
    <r>
      <rPr>
        <sz val="7"/>
        <rFont val="Arial Narrow"/>
        <family val="2"/>
      </rPr>
      <t xml:space="preserve"> Uso Suelo :</t>
    </r>
  </si>
  <si>
    <t>Artefactos :</t>
  </si>
  <si>
    <t>Electr. :</t>
  </si>
  <si>
    <t>Alcantarillado:</t>
  </si>
  <si>
    <t>A.Pot. :</t>
  </si>
  <si>
    <t xml:space="preserve"> PLANIFICACION</t>
  </si>
  <si>
    <t>O.G.</t>
  </si>
  <si>
    <t>TERM.</t>
  </si>
  <si>
    <t>INST.</t>
  </si>
  <si>
    <t>sin ascensor</t>
  </si>
  <si>
    <t>con ascensor</t>
  </si>
  <si>
    <t>Estado : Terminac. :</t>
  </si>
  <si>
    <t>Instalac. :</t>
  </si>
  <si>
    <t>Medianeros :</t>
  </si>
  <si>
    <t>Promedio</t>
  </si>
  <si>
    <t xml:space="preserve">Conservación Conjunto : </t>
  </si>
  <si>
    <t>Mínimo</t>
  </si>
  <si>
    <t>Máximo</t>
  </si>
  <si>
    <t>Factor Prorrateo Terreno :</t>
  </si>
  <si>
    <t>Estacionamientos :</t>
  </si>
  <si>
    <t>Recargo Regiones XI, XII y X (Palena-Chiloé)</t>
  </si>
  <si>
    <t>Coeficiente t :</t>
  </si>
  <si>
    <t>UF/m2 T :</t>
  </si>
  <si>
    <t>UF/m2 C :</t>
  </si>
  <si>
    <t>Dº</t>
  </si>
  <si>
    <t>Bº</t>
  </si>
  <si>
    <t>Nivel Confianza :</t>
  </si>
  <si>
    <t>C:\WINDOWS\Profiles\jcps\Mis documentos\Minvu\Planillas\Base de datos Tasaciones.xls</t>
  </si>
  <si>
    <t>Revisor</t>
  </si>
  <si>
    <t>Fecha Revisión</t>
  </si>
  <si>
    <t>Año :</t>
  </si>
  <si>
    <t>Margen variación según tabla</t>
  </si>
  <si>
    <t>VUBE  UF/m2 :</t>
  </si>
  <si>
    <t>SC</t>
  </si>
  <si>
    <t>SIN CONDICION</t>
  </si>
  <si>
    <t>Ascensores :</t>
  </si>
  <si>
    <t>Más de 2 pisos sin ascensor</t>
  </si>
  <si>
    <t>Más de 2 pisos con ascensor</t>
  </si>
  <si>
    <t>Localización :</t>
  </si>
  <si>
    <r>
      <t>Edificación</t>
    </r>
    <r>
      <rPr>
        <sz val="7"/>
        <rFont val="Arial"/>
        <family val="2"/>
      </rPr>
      <t xml:space="preserve"> Agrupación :</t>
    </r>
  </si>
  <si>
    <t>Compatibilidad con Uso Actual :</t>
  </si>
  <si>
    <t>Incidencia OOCC :</t>
  </si>
  <si>
    <t>Incidencia Promedio :</t>
  </si>
  <si>
    <t>Margen ± :</t>
  </si>
  <si>
    <t>Edificaciones Sin Regularizar :</t>
  </si>
  <si>
    <t>M2 Constr</t>
  </si>
  <si>
    <t>Forma / proporción / Topografía :</t>
  </si>
  <si>
    <t>Tipo</t>
  </si>
  <si>
    <t>Dato</t>
  </si>
  <si>
    <t>Relación c/Propiedad</t>
  </si>
  <si>
    <t>Factores Ambientales negativos :</t>
  </si>
  <si>
    <t>Vistas Favorables :</t>
  </si>
  <si>
    <t>Visita a la propiedad :</t>
  </si>
  <si>
    <t>Particularidades :</t>
  </si>
  <si>
    <t>VUBE UF/m2 según Tasador :</t>
  </si>
  <si>
    <t>Otros edificaciones según Anexo</t>
  </si>
  <si>
    <t xml:space="preserve">Inmueble Típico = 0; Atípico =1 </t>
  </si>
  <si>
    <t>Estado  :</t>
  </si>
  <si>
    <t>Deprec. Anual :</t>
  </si>
  <si>
    <t>Depr.:</t>
  </si>
  <si>
    <r>
      <t xml:space="preserve">Margen Variación VUBE </t>
    </r>
    <r>
      <rPr>
        <sz val="7"/>
        <rFont val="Arial"/>
        <family val="0"/>
      </rPr>
      <t>±</t>
    </r>
    <r>
      <rPr>
        <sz val="7"/>
        <rFont val="Arial"/>
        <family val="2"/>
      </rPr>
      <t xml:space="preserve"> :</t>
    </r>
  </si>
  <si>
    <t>Relación Propiedad a Tasar / Conjunto Muestra :</t>
  </si>
  <si>
    <t>Superficie edificada total &lt; 30 m2</t>
  </si>
  <si>
    <t>C / D</t>
  </si>
  <si>
    <t>E / H</t>
  </si>
  <si>
    <t>Nombre y Firma Supervisor</t>
  </si>
  <si>
    <t>U</t>
  </si>
  <si>
    <t>Tipo Tasación</t>
  </si>
  <si>
    <t>OOCC</t>
  </si>
  <si>
    <t xml:space="preserve"> Informe de Tasación Urbana</t>
  </si>
  <si>
    <t>Adosamiento</t>
  </si>
  <si>
    <t>Ascensores</t>
  </si>
  <si>
    <t>Sup. Total edificada</t>
  </si>
  <si>
    <t>Inst. Rural</t>
  </si>
  <si>
    <t>Fecha 1ª Oferta</t>
  </si>
  <si>
    <t>Fecha Ultima Oferta</t>
  </si>
  <si>
    <t>Valor Inicial en UF</t>
  </si>
  <si>
    <t>D.O.M. :</t>
  </si>
  <si>
    <t>S.I.I. :</t>
  </si>
  <si>
    <t>Región :</t>
  </si>
  <si>
    <t>Coord. :</t>
  </si>
  <si>
    <t>Calidad Edificación :</t>
  </si>
  <si>
    <t>Comercio/Servicios :</t>
  </si>
  <si>
    <t>Calles principales :</t>
  </si>
  <si>
    <t>Tipo Vía Acceso :</t>
  </si>
  <si>
    <t xml:space="preserve"> </t>
  </si>
  <si>
    <r>
      <t xml:space="preserve">Margen Variación VUBE deprec. </t>
    </r>
    <r>
      <rPr>
        <sz val="7"/>
        <rFont val="Arial"/>
        <family val="0"/>
      </rPr>
      <t>±</t>
    </r>
    <r>
      <rPr>
        <sz val="7"/>
        <rFont val="Arial"/>
        <family val="2"/>
      </rPr>
      <t xml:space="preserve"> :</t>
    </r>
  </si>
  <si>
    <t>Relación Terreno/Edificación (m2) :</t>
  </si>
  <si>
    <t>Relación Terreno/Edificación (valor) :</t>
  </si>
  <si>
    <t>Valor Total</t>
  </si>
  <si>
    <t>V.Total / Sup.Terr.</t>
  </si>
  <si>
    <t>V.Total / Sup.Const.</t>
  </si>
</sst>
</file>

<file path=xl/styles.xml><?xml version="1.0" encoding="utf-8"?>
<styleSheet xmlns="http://schemas.openxmlformats.org/spreadsheetml/2006/main">
  <numFmts count="5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#,##0.00\ &quot;UF&quot;"/>
    <numFmt numFmtId="183" formatCode="#,##0\ &quot;m&quot;;\-&quot;$&quot;#,##0\ &quot;m&quot;"/>
    <numFmt numFmtId="184" formatCode="#,##0.00\ &quot;m2.&quot;"/>
    <numFmt numFmtId="185" formatCode="#,##0\ &quot;UF&quot;"/>
    <numFmt numFmtId="186" formatCode="0.0%"/>
    <numFmt numFmtId="187" formatCode="&quot;$&quot;\ #,##0"/>
    <numFmt numFmtId="188" formatCode="&quot;$&quot;\ #,##0.00"/>
    <numFmt numFmtId="189" formatCode="[$$-2C0A]#,##0"/>
    <numFmt numFmtId="190" formatCode="&quot;$&quot;#,##0"/>
    <numFmt numFmtId="191" formatCode="0.0\ &quot;m.&quot;"/>
    <numFmt numFmtId="192" formatCode="0.000"/>
    <numFmt numFmtId="193" formatCode="0.0"/>
    <numFmt numFmtId="194" formatCode="0.000%"/>
    <numFmt numFmtId="195" formatCode="#,##0.0"/>
    <numFmt numFmtId="196" formatCode="#,##0.00_ ;\-#,##0.00\ "/>
    <numFmt numFmtId="197" formatCode="#,##0_ ;\-#,##0\ "/>
    <numFmt numFmtId="198" formatCode="#,##0.0\ &quot;UF&quot;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[$-340A]dddd\,\ dd&quot; de &quot;mmmm&quot; de &quot;yyyy"/>
    <numFmt numFmtId="204" formatCode="dd\-mm\-yyyy;@"/>
    <numFmt numFmtId="205" formatCode="#,##0.000"/>
    <numFmt numFmtId="206" formatCode="dd\-mm\-yy;@"/>
    <numFmt numFmtId="207" formatCode="0.00000"/>
    <numFmt numFmtId="208" formatCode="0.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color indexed="18"/>
      <name val="Arial"/>
      <family val="2"/>
    </font>
    <font>
      <b/>
      <sz val="14"/>
      <name val="Arial Narrow"/>
      <family val="2"/>
    </font>
    <font>
      <sz val="8"/>
      <name val="Arial"/>
      <family val="2"/>
    </font>
    <font>
      <b/>
      <sz val="14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  <font>
      <sz val="10"/>
      <name val="Arial Narrow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8"/>
      <name val="Arial"/>
      <family val="2"/>
    </font>
    <font>
      <sz val="7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sz val="6"/>
      <name val="Arial"/>
      <family val="2"/>
    </font>
    <font>
      <sz val="8"/>
      <color indexed="8"/>
      <name val="Arial"/>
      <family val="0"/>
    </font>
    <font>
      <sz val="6"/>
      <color indexed="8"/>
      <name val="Arial"/>
      <family val="2"/>
    </font>
    <font>
      <sz val="5"/>
      <name val="Arial"/>
      <family val="2"/>
    </font>
    <font>
      <b/>
      <sz val="8"/>
      <name val="Arial Black"/>
      <family val="2"/>
    </font>
    <font>
      <b/>
      <sz val="7"/>
      <color indexed="32"/>
      <name val="Arial Narrow"/>
      <family val="2"/>
    </font>
    <font>
      <sz val="7"/>
      <color indexed="32"/>
      <name val="Arial Narrow"/>
      <family val="2"/>
    </font>
    <font>
      <sz val="7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7"/>
      <color indexed="9"/>
      <name val="Arial Narrow"/>
      <family val="2"/>
    </font>
    <font>
      <b/>
      <sz val="7"/>
      <color indexed="10"/>
      <name val="Arial Narrow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b/>
      <sz val="8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</fills>
  <borders count="9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medium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069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0" fontId="6" fillId="0" borderId="0" xfId="0" applyFont="1" applyBorder="1" applyAlignment="1" applyProtection="1">
      <alignment horizontal="centerContinuous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1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 vertical="center"/>
      <protection/>
    </xf>
    <xf numFmtId="0" fontId="6" fillId="0" borderId="3" xfId="0" applyFont="1" applyBorder="1" applyAlignment="1" applyProtection="1">
      <alignment/>
      <protection/>
    </xf>
    <xf numFmtId="0" fontId="6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4" xfId="0" applyFont="1" applyBorder="1" applyAlignment="1" applyProtection="1">
      <alignment/>
      <protection hidden="1"/>
    </xf>
    <xf numFmtId="0" fontId="6" fillId="0" borderId="1" xfId="0" applyFont="1" applyBorder="1" applyAlignment="1" applyProtection="1">
      <alignment/>
      <protection hidden="1"/>
    </xf>
    <xf numFmtId="0" fontId="6" fillId="0" borderId="2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centerContinuous" vertical="center"/>
      <protection hidden="1"/>
    </xf>
    <xf numFmtId="0" fontId="6" fillId="0" borderId="0" xfId="0" applyFont="1" applyBorder="1" applyAlignment="1" applyProtection="1">
      <alignment horizontal="centerContinuous"/>
      <protection hidden="1"/>
    </xf>
    <xf numFmtId="0" fontId="10" fillId="0" borderId="0" xfId="0" applyFont="1" applyBorder="1" applyAlignment="1" applyProtection="1">
      <alignment/>
      <protection hidden="1"/>
    </xf>
    <xf numFmtId="0" fontId="6" fillId="0" borderId="5" xfId="0" applyFont="1" applyBorder="1" applyAlignment="1" applyProtection="1">
      <alignment/>
      <protection hidden="1"/>
    </xf>
    <xf numFmtId="0" fontId="6" fillId="0" borderId="6" xfId="0" applyFont="1" applyBorder="1" applyAlignment="1" applyProtection="1">
      <alignment/>
      <protection hidden="1"/>
    </xf>
    <xf numFmtId="0" fontId="6" fillId="0" borderId="7" xfId="0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right"/>
      <protection hidden="1"/>
    </xf>
    <xf numFmtId="0" fontId="6" fillId="0" borderId="8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/>
      <protection hidden="1"/>
    </xf>
    <xf numFmtId="0" fontId="6" fillId="0" borderId="3" xfId="0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10" fillId="0" borderId="1" xfId="0" applyFont="1" applyBorder="1" applyAlignment="1" applyProtection="1">
      <alignment/>
      <protection hidden="1"/>
    </xf>
    <xf numFmtId="0" fontId="10" fillId="0" borderId="3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horizontal="centerContinuous" vertical="top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0" fillId="0" borderId="0" xfId="0" applyFont="1" applyAlignment="1" applyProtection="1">
      <alignment horizontal="centerContinuous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6" fillId="0" borderId="2" xfId="0" applyFont="1" applyFill="1" applyBorder="1" applyAlignment="1" applyProtection="1">
      <alignment horizontal="centerContinuous" vertical="center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horizontal="centerContinuous" vertical="center"/>
      <protection hidden="1"/>
    </xf>
    <xf numFmtId="0" fontId="6" fillId="0" borderId="2" xfId="0" applyFont="1" applyFill="1" applyBorder="1" applyAlignment="1" applyProtection="1">
      <alignment horizontal="centerContinuous" vertical="center"/>
      <protection hidden="1"/>
    </xf>
    <xf numFmtId="0" fontId="6" fillId="0" borderId="3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15" fillId="0" borderId="0" xfId="0" applyFont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5" fillId="0" borderId="10" xfId="0" applyFont="1" applyBorder="1" applyAlignment="1" applyProtection="1">
      <alignment horizontal="left" vertical="center"/>
      <protection hidden="1"/>
    </xf>
    <xf numFmtId="0" fontId="17" fillId="0" borderId="0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7" fillId="0" borderId="1" xfId="0" applyFont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2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3" xfId="0" applyFont="1" applyFill="1" applyBorder="1" applyAlignment="1" applyProtection="1">
      <alignment vertical="center"/>
      <protection/>
    </xf>
    <xf numFmtId="0" fontId="17" fillId="0" borderId="0" xfId="0" applyFont="1" applyAlignment="1" applyProtection="1">
      <alignment/>
      <protection locked="0"/>
    </xf>
    <xf numFmtId="0" fontId="19" fillId="0" borderId="9" xfId="0" applyFont="1" applyFill="1" applyBorder="1" applyAlignment="1" applyProtection="1">
      <alignment vertical="center"/>
      <protection/>
    </xf>
    <xf numFmtId="0" fontId="17" fillId="0" borderId="1" xfId="0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7" fillId="0" borderId="2" xfId="0" applyFont="1" applyBorder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15" fillId="0" borderId="11" xfId="0" applyFont="1" applyBorder="1" applyAlignment="1" applyProtection="1">
      <alignment vertical="center"/>
      <protection/>
    </xf>
    <xf numFmtId="0" fontId="17" fillId="0" borderId="11" xfId="0" applyFont="1" applyBorder="1" applyAlignment="1" applyProtection="1">
      <alignment vertical="center"/>
      <protection/>
    </xf>
    <xf numFmtId="4" fontId="14" fillId="0" borderId="11" xfId="0" applyNumberFormat="1" applyFont="1" applyBorder="1" applyAlignment="1" applyProtection="1">
      <alignment vertical="center"/>
      <protection/>
    </xf>
    <xf numFmtId="0" fontId="10" fillId="0" borderId="1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horizontal="left" vertical="center"/>
      <protection hidden="1"/>
    </xf>
    <xf numFmtId="0" fontId="17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vertical="center" textRotation="90"/>
      <protection/>
    </xf>
    <xf numFmtId="0" fontId="17" fillId="0" borderId="0" xfId="0" applyFont="1" applyBorder="1" applyAlignment="1" applyProtection="1">
      <alignment horizontal="center" vertical="center" textRotation="90"/>
      <protection/>
    </xf>
    <xf numFmtId="0" fontId="8" fillId="0" borderId="0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/>
    </xf>
    <xf numFmtId="0" fontId="17" fillId="0" borderId="1" xfId="0" applyFont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/>
      <protection hidden="1"/>
    </xf>
    <xf numFmtId="0" fontId="17" fillId="0" borderId="12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centerContinuous" vertical="center"/>
      <protection hidden="1"/>
    </xf>
    <xf numFmtId="0" fontId="8" fillId="0" borderId="0" xfId="0" applyFont="1" applyBorder="1" applyAlignment="1" applyProtection="1">
      <alignment horizontal="centerContinuous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justify" vertical="top" wrapText="1"/>
      <protection/>
    </xf>
    <xf numFmtId="187" fontId="10" fillId="0" borderId="13" xfId="0" applyNumberFormat="1" applyFont="1" applyBorder="1" applyAlignment="1" applyProtection="1">
      <alignment horizontal="center"/>
      <protection hidden="1"/>
    </xf>
    <xf numFmtId="0" fontId="6" fillId="0" borderId="2" xfId="0" applyFont="1" applyFill="1" applyBorder="1" applyAlignment="1" applyProtection="1">
      <alignment/>
      <protection/>
    </xf>
    <xf numFmtId="0" fontId="17" fillId="0" borderId="2" xfId="0" applyFont="1" applyFill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horizontal="center"/>
      <protection hidden="1"/>
    </xf>
    <xf numFmtId="0" fontId="6" fillId="0" borderId="14" xfId="0" applyFont="1" applyBorder="1" applyAlignment="1" applyProtection="1">
      <alignment horizontal="right"/>
      <protection hidden="1"/>
    </xf>
    <xf numFmtId="0" fontId="6" fillId="0" borderId="15" xfId="0" applyFont="1" applyBorder="1" applyAlignment="1" applyProtection="1">
      <alignment/>
      <protection hidden="1"/>
    </xf>
    <xf numFmtId="0" fontId="17" fillId="0" borderId="1" xfId="0" applyFont="1" applyFill="1" applyBorder="1" applyAlignment="1" applyProtection="1">
      <alignment horizontal="right" vertical="center"/>
      <protection/>
    </xf>
    <xf numFmtId="0" fontId="17" fillId="0" borderId="9" xfId="0" applyFont="1" applyFill="1" applyBorder="1" applyAlignment="1" applyProtection="1">
      <alignment horizontal="right" vertical="center"/>
      <protection/>
    </xf>
    <xf numFmtId="0" fontId="10" fillId="0" borderId="16" xfId="0" applyFont="1" applyBorder="1" applyAlignment="1" applyProtection="1">
      <alignment horizontal="center" vertical="center"/>
      <protection hidden="1"/>
    </xf>
    <xf numFmtId="0" fontId="17" fillId="0" borderId="17" xfId="0" applyFont="1" applyFill="1" applyBorder="1" applyAlignment="1" applyProtection="1">
      <alignment horizontal="right" vertical="center"/>
      <protection hidden="1"/>
    </xf>
    <xf numFmtId="0" fontId="17" fillId="0" borderId="1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7" fillId="0" borderId="1" xfId="0" applyFont="1" applyBorder="1" applyAlignment="1">
      <alignment/>
    </xf>
    <xf numFmtId="0" fontId="7" fillId="0" borderId="0" xfId="0" applyFont="1" applyBorder="1" applyAlignment="1" applyProtection="1">
      <alignment horizontal="centerContinuous" vertical="center"/>
      <protection/>
    </xf>
    <xf numFmtId="0" fontId="10" fillId="0" borderId="1" xfId="0" applyFont="1" applyFill="1" applyBorder="1" applyAlignment="1" applyProtection="1">
      <alignment/>
      <protection/>
    </xf>
    <xf numFmtId="0" fontId="17" fillId="0" borderId="3" xfId="0" applyFont="1" applyFill="1" applyBorder="1" applyAlignment="1" applyProtection="1">
      <alignment horizontal="right" vertical="center"/>
      <protection hidden="1"/>
    </xf>
    <xf numFmtId="0" fontId="17" fillId="0" borderId="18" xfId="0" applyFont="1" applyFill="1" applyBorder="1" applyAlignment="1" applyProtection="1">
      <alignment horizontal="right" vertical="center"/>
      <protection hidden="1"/>
    </xf>
    <xf numFmtId="0" fontId="17" fillId="0" borderId="6" xfId="0" applyFont="1" applyFill="1" applyBorder="1" applyAlignment="1" applyProtection="1">
      <alignment horizontal="left" vertical="center"/>
      <protection hidden="1"/>
    </xf>
    <xf numFmtId="0" fontId="17" fillId="0" borderId="6" xfId="0" applyFont="1" applyBorder="1" applyAlignment="1" applyProtection="1">
      <alignment vertical="center"/>
      <protection hidden="1"/>
    </xf>
    <xf numFmtId="0" fontId="17" fillId="0" borderId="6" xfId="0" applyFont="1" applyBorder="1" applyAlignment="1" applyProtection="1">
      <alignment horizontal="centerContinuous" vertical="center"/>
      <protection hidden="1"/>
    </xf>
    <xf numFmtId="0" fontId="17" fillId="2" borderId="4" xfId="0" applyFont="1" applyFill="1" applyBorder="1" applyAlignment="1" applyProtection="1">
      <alignment horizontal="center" vertical="center"/>
      <protection locked="0"/>
    </xf>
    <xf numFmtId="0" fontId="17" fillId="2" borderId="9" xfId="0" applyFont="1" applyFill="1" applyBorder="1" applyAlignment="1" applyProtection="1">
      <alignment horizontal="center" vertical="center"/>
      <protection locked="0"/>
    </xf>
    <xf numFmtId="0" fontId="19" fillId="2" borderId="3" xfId="0" applyFont="1" applyFill="1" applyBorder="1" applyAlignment="1" applyProtection="1">
      <alignment horizontal="center" vertical="center"/>
      <protection locked="0"/>
    </xf>
    <xf numFmtId="0" fontId="17" fillId="2" borderId="3" xfId="0" applyFont="1" applyFill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vertical="center"/>
      <protection/>
    </xf>
    <xf numFmtId="0" fontId="17" fillId="0" borderId="17" xfId="0" applyFont="1" applyBorder="1" applyAlignment="1" applyProtection="1">
      <alignment horizontal="centerContinuous" vertical="center"/>
      <protection/>
    </xf>
    <xf numFmtId="0" fontId="17" fillId="0" borderId="6" xfId="0" applyFont="1" applyBorder="1" applyAlignment="1" applyProtection="1">
      <alignment horizontal="centerContinuous" vertical="center"/>
      <protection/>
    </xf>
    <xf numFmtId="0" fontId="17" fillId="2" borderId="12" xfId="0" applyFont="1" applyFill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2" borderId="5" xfId="0" applyFont="1" applyFill="1" applyBorder="1" applyAlignment="1" applyProtection="1">
      <alignment horizontal="center" vertical="center"/>
      <protection locked="0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7" fillId="0" borderId="9" xfId="0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 vertical="center"/>
      <protection locked="0"/>
    </xf>
    <xf numFmtId="0" fontId="17" fillId="0" borderId="4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 vertical="center"/>
      <protection/>
    </xf>
    <xf numFmtId="0" fontId="17" fillId="2" borderId="12" xfId="0" applyFont="1" applyFill="1" applyBorder="1" applyAlignment="1" applyProtection="1">
      <alignment vertical="center"/>
      <protection locked="0"/>
    </xf>
    <xf numFmtId="0" fontId="19" fillId="2" borderId="5" xfId="0" applyFont="1" applyFill="1" applyBorder="1" applyAlignment="1" applyProtection="1">
      <alignment vertical="center"/>
      <protection locked="0"/>
    </xf>
    <xf numFmtId="0" fontId="17" fillId="2" borderId="6" xfId="0" applyFont="1" applyFill="1" applyBorder="1" applyAlignment="1" applyProtection="1">
      <alignment vertical="center"/>
      <protection locked="0"/>
    </xf>
    <xf numFmtId="0" fontId="17" fillId="2" borderId="5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/>
    </xf>
    <xf numFmtId="0" fontId="13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 hidden="1"/>
    </xf>
    <xf numFmtId="0" fontId="15" fillId="0" borderId="3" xfId="0" applyFont="1" applyFill="1" applyBorder="1" applyAlignment="1" applyProtection="1">
      <alignment horizontal="centerContinuous" vertical="center"/>
      <protection/>
    </xf>
    <xf numFmtId="0" fontId="17" fillId="0" borderId="3" xfId="0" applyFont="1" applyFill="1" applyBorder="1" applyAlignment="1" applyProtection="1">
      <alignment horizontal="centerContinuous"/>
      <protection/>
    </xf>
    <xf numFmtId="0" fontId="17" fillId="0" borderId="3" xfId="0" applyFont="1" applyFill="1" applyBorder="1" applyAlignment="1" applyProtection="1">
      <alignment horizontal="centerContinuous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17" fillId="0" borderId="20" xfId="0" applyFont="1" applyBorder="1" applyAlignment="1" applyProtection="1">
      <alignment vertical="center"/>
      <protection/>
    </xf>
    <xf numFmtId="0" fontId="0" fillId="0" borderId="0" xfId="0" applyAlignment="1">
      <alignment horizontal="left"/>
    </xf>
    <xf numFmtId="0" fontId="17" fillId="0" borderId="17" xfId="0" applyFont="1" applyBorder="1" applyAlignment="1">
      <alignment horizontal="centerContinuous"/>
    </xf>
    <xf numFmtId="0" fontId="17" fillId="0" borderId="21" xfId="0" applyFont="1" applyBorder="1" applyAlignment="1">
      <alignment horizontal="centerContinuous"/>
    </xf>
    <xf numFmtId="0" fontId="17" fillId="0" borderId="5" xfId="0" applyFont="1" applyBorder="1" applyAlignment="1">
      <alignment/>
    </xf>
    <xf numFmtId="0" fontId="17" fillId="0" borderId="9" xfId="0" applyFont="1" applyBorder="1" applyAlignment="1">
      <alignment/>
    </xf>
    <xf numFmtId="0" fontId="6" fillId="0" borderId="0" xfId="0" applyFont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centerContinuous" vertical="top"/>
      <protection/>
    </xf>
    <xf numFmtId="0" fontId="19" fillId="0" borderId="6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/>
      <protection/>
    </xf>
    <xf numFmtId="0" fontId="6" fillId="0" borderId="1" xfId="0" applyFont="1" applyFill="1" applyBorder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8" fillId="0" borderId="2" xfId="0" applyFont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Continuous" vertical="center"/>
      <protection hidden="1"/>
    </xf>
    <xf numFmtId="0" fontId="6" fillId="0" borderId="1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19" fillId="0" borderId="2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vertical="center" wrapText="1"/>
      <protection/>
    </xf>
    <xf numFmtId="0" fontId="19" fillId="0" borderId="0" xfId="0" applyFont="1" applyAlignment="1">
      <alignment vertical="center" wrapText="1"/>
    </xf>
    <xf numFmtId="4" fontId="28" fillId="0" borderId="0" xfId="0" applyNumberFormat="1" applyFont="1" applyBorder="1" applyAlignment="1" applyProtection="1">
      <alignment vertical="center"/>
      <protection hidden="1"/>
    </xf>
    <xf numFmtId="0" fontId="8" fillId="0" borderId="11" xfId="0" applyFont="1" applyBorder="1" applyAlignment="1" applyProtection="1">
      <alignment horizontal="right" vertical="center"/>
      <protection/>
    </xf>
    <xf numFmtId="0" fontId="17" fillId="0" borderId="22" xfId="0" applyFont="1" applyBorder="1" applyAlignment="1">
      <alignment horizontal="center" vertical="center" textRotation="90" wrapText="1"/>
    </xf>
    <xf numFmtId="0" fontId="17" fillId="0" borderId="23" xfId="0" applyFont="1" applyBorder="1" applyAlignment="1">
      <alignment horizontal="center" vertical="center" textRotation="90" wrapText="1"/>
    </xf>
    <xf numFmtId="0" fontId="17" fillId="0" borderId="24" xfId="0" applyFont="1" applyBorder="1" applyAlignment="1">
      <alignment horizontal="center" vertical="center" textRotation="90" wrapText="1"/>
    </xf>
    <xf numFmtId="0" fontId="6" fillId="0" borderId="9" xfId="0" applyFont="1" applyBorder="1" applyAlignment="1" applyProtection="1">
      <alignment/>
      <protection/>
    </xf>
    <xf numFmtId="0" fontId="10" fillId="0" borderId="3" xfId="0" applyFont="1" applyBorder="1" applyAlignment="1" applyProtection="1">
      <alignment/>
      <protection/>
    </xf>
    <xf numFmtId="0" fontId="9" fillId="0" borderId="9" xfId="0" applyFont="1" applyFill="1" applyBorder="1" applyAlignment="1" applyProtection="1">
      <alignment vertical="center"/>
      <protection/>
    </xf>
    <xf numFmtId="0" fontId="8" fillId="0" borderId="3" xfId="0" applyFont="1" applyFill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horizontal="right" vertical="center"/>
      <protection/>
    </xf>
    <xf numFmtId="0" fontId="8" fillId="0" borderId="3" xfId="0" applyFont="1" applyFill="1" applyBorder="1" applyAlignment="1" applyProtection="1">
      <alignment horizontal="right" vertical="center"/>
      <protection/>
    </xf>
    <xf numFmtId="0" fontId="8" fillId="0" borderId="4" xfId="0" applyFont="1" applyFill="1" applyBorder="1" applyAlignment="1" applyProtection="1">
      <alignment vertical="center"/>
      <protection/>
    </xf>
    <xf numFmtId="0" fontId="6" fillId="0" borderId="1" xfId="0" applyFont="1" applyFill="1" applyBorder="1" applyAlignment="1" applyProtection="1">
      <alignment/>
      <protection hidden="1"/>
    </xf>
    <xf numFmtId="0" fontId="17" fillId="0" borderId="1" xfId="0" applyFont="1" applyBorder="1" applyAlignment="1">
      <alignment/>
    </xf>
    <xf numFmtId="0" fontId="17" fillId="0" borderId="4" xfId="0" applyFont="1" applyBorder="1" applyAlignment="1">
      <alignment/>
    </xf>
    <xf numFmtId="0" fontId="0" fillId="0" borderId="0" xfId="0" applyAlignment="1">
      <alignment/>
    </xf>
    <xf numFmtId="0" fontId="9" fillId="0" borderId="18" xfId="0" applyFont="1" applyBorder="1" applyAlignment="1">
      <alignment horizontal="centerContinuous" vertical="center"/>
    </xf>
    <xf numFmtId="0" fontId="0" fillId="0" borderId="1" xfId="0" applyBorder="1" applyAlignment="1">
      <alignment/>
    </xf>
    <xf numFmtId="0" fontId="6" fillId="0" borderId="4" xfId="0" applyFont="1" applyBorder="1" applyAlignment="1" applyProtection="1">
      <alignment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17" fillId="0" borderId="9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right"/>
    </xf>
    <xf numFmtId="0" fontId="0" fillId="0" borderId="1" xfId="0" applyBorder="1" applyAlignment="1">
      <alignment/>
    </xf>
    <xf numFmtId="0" fontId="17" fillId="0" borderId="1" xfId="0" applyFont="1" applyBorder="1" applyAlignment="1">
      <alignment horizontal="center" textRotation="90"/>
    </xf>
    <xf numFmtId="0" fontId="17" fillId="0" borderId="3" xfId="0" applyFont="1" applyBorder="1" applyAlignment="1">
      <alignment/>
    </xf>
    <xf numFmtId="0" fontId="17" fillId="0" borderId="25" xfId="0" applyFont="1" applyBorder="1" applyAlignment="1">
      <alignment horizontal="center" textRotation="90"/>
    </xf>
    <xf numFmtId="0" fontId="0" fillId="0" borderId="0" xfId="0" applyBorder="1" applyAlignment="1">
      <alignment/>
    </xf>
    <xf numFmtId="0" fontId="17" fillId="0" borderId="26" xfId="0" applyFont="1" applyBorder="1" applyAlignment="1">
      <alignment horizontal="centerContinuous" vertical="center"/>
    </xf>
    <xf numFmtId="0" fontId="17" fillId="0" borderId="27" xfId="0" applyFont="1" applyBorder="1" applyAlignment="1">
      <alignment horizontal="center" textRotation="90"/>
    </xf>
    <xf numFmtId="0" fontId="17" fillId="0" borderId="28" xfId="0" applyFont="1" applyBorder="1" applyAlignment="1">
      <alignment vertical="center"/>
    </xf>
    <xf numFmtId="3" fontId="17" fillId="0" borderId="28" xfId="24" applyNumberFormat="1" applyFont="1" applyBorder="1" applyAlignment="1">
      <alignment vertical="center"/>
    </xf>
    <xf numFmtId="186" fontId="17" fillId="0" borderId="28" xfId="24" applyNumberFormat="1" applyFont="1" applyBorder="1" applyAlignment="1">
      <alignment vertical="center"/>
    </xf>
    <xf numFmtId="186" fontId="17" fillId="0" borderId="29" xfId="0" applyNumberFormat="1" applyFont="1" applyBorder="1" applyAlignment="1">
      <alignment vertical="center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29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22" applyFont="1" applyAlignment="1">
      <alignment horizontal="left"/>
      <protection/>
    </xf>
    <xf numFmtId="0" fontId="6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centerContinuous" vertical="center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6" fillId="0" borderId="10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Continuous" vertical="center"/>
      <protection/>
    </xf>
    <xf numFmtId="0" fontId="17" fillId="0" borderId="9" xfId="0" applyFont="1" applyFill="1" applyBorder="1" applyAlignment="1" applyProtection="1">
      <alignment vertical="center"/>
      <protection hidden="1"/>
    </xf>
    <xf numFmtId="0" fontId="17" fillId="0" borderId="3" xfId="0" applyFont="1" applyBorder="1" applyAlignment="1" applyProtection="1">
      <alignment vertical="center"/>
      <protection/>
    </xf>
    <xf numFmtId="0" fontId="17" fillId="0" borderId="18" xfId="0" applyFont="1" applyBorder="1" applyAlignment="1" applyProtection="1">
      <alignment vertical="center"/>
      <protection hidden="1"/>
    </xf>
    <xf numFmtId="4" fontId="17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 hidden="1"/>
    </xf>
    <xf numFmtId="3" fontId="17" fillId="0" borderId="3" xfId="0" applyNumberFormat="1" applyFont="1" applyBorder="1" applyAlignment="1" applyProtection="1">
      <alignment horizontal="center" vertical="center"/>
      <protection hidden="1"/>
    </xf>
    <xf numFmtId="0" fontId="17" fillId="0" borderId="21" xfId="0" applyFont="1" applyBorder="1" applyAlignment="1" applyProtection="1">
      <alignment vertical="center"/>
      <protection hidden="1"/>
    </xf>
    <xf numFmtId="0" fontId="6" fillId="0" borderId="3" xfId="0" applyFont="1" applyBorder="1" applyAlignment="1">
      <alignment horizontal="right"/>
    </xf>
    <xf numFmtId="0" fontId="17" fillId="0" borderId="30" xfId="0" applyFont="1" applyBorder="1" applyAlignment="1">
      <alignment/>
    </xf>
    <xf numFmtId="0" fontId="17" fillId="0" borderId="31" xfId="0" applyFont="1" applyBorder="1" applyAlignment="1">
      <alignment/>
    </xf>
    <xf numFmtId="0" fontId="17" fillId="0" borderId="9" xfId="0" applyFont="1" applyBorder="1" applyAlignment="1">
      <alignment/>
    </xf>
    <xf numFmtId="0" fontId="6" fillId="0" borderId="6" xfId="0" applyFont="1" applyFill="1" applyBorder="1" applyAlignment="1" applyProtection="1">
      <alignment horizontal="centerContinuous" vertical="center"/>
      <protection hidden="1"/>
    </xf>
    <xf numFmtId="0" fontId="6" fillId="0" borderId="6" xfId="0" applyFont="1" applyBorder="1" applyAlignment="1" applyProtection="1">
      <alignment horizontal="centerContinuous" vertical="center"/>
      <protection/>
    </xf>
    <xf numFmtId="0" fontId="6" fillId="0" borderId="0" xfId="0" applyFont="1" applyBorder="1" applyAlignment="1">
      <alignment horizontal="centerContinuous" vertical="center"/>
    </xf>
    <xf numFmtId="0" fontId="6" fillId="0" borderId="2" xfId="0" applyFont="1" applyBorder="1" applyAlignment="1" applyProtection="1">
      <alignment horizontal="centerContinuous" vertical="center"/>
      <protection/>
    </xf>
    <xf numFmtId="0" fontId="6" fillId="0" borderId="5" xfId="0" applyFont="1" applyBorder="1" applyAlignment="1" applyProtection="1">
      <alignment horizontal="centerContinuous" vertical="center"/>
      <protection/>
    </xf>
    <xf numFmtId="0" fontId="17" fillId="0" borderId="32" xfId="0" applyFont="1" applyBorder="1" applyAlignment="1">
      <alignment/>
    </xf>
    <xf numFmtId="0" fontId="17" fillId="0" borderId="1" xfId="0" applyFont="1" applyFill="1" applyBorder="1" applyAlignment="1" applyProtection="1">
      <alignment/>
      <protection/>
    </xf>
    <xf numFmtId="0" fontId="0" fillId="0" borderId="3" xfId="0" applyBorder="1" applyAlignment="1">
      <alignment/>
    </xf>
    <xf numFmtId="0" fontId="6" fillId="0" borderId="0" xfId="0" applyFont="1" applyBorder="1" applyAlignment="1">
      <alignment horizontal="right" vertical="center"/>
    </xf>
    <xf numFmtId="0" fontId="6" fillId="0" borderId="9" xfId="0" applyFont="1" applyBorder="1" applyAlignment="1">
      <alignment horizontal="right"/>
    </xf>
    <xf numFmtId="0" fontId="13" fillId="0" borderId="0" xfId="0" applyFont="1" applyAlignment="1" applyProtection="1" quotePrefix="1">
      <alignment horizontal="center"/>
      <protection hidden="1"/>
    </xf>
    <xf numFmtId="0" fontId="13" fillId="0" borderId="33" xfId="0" applyFont="1" applyBorder="1" applyAlignment="1" applyProtection="1" quotePrefix="1">
      <alignment horizontal="center" vertical="center"/>
      <protection hidden="1"/>
    </xf>
    <xf numFmtId="0" fontId="17" fillId="0" borderId="1" xfId="0" applyFont="1" applyBorder="1" applyAlignment="1" applyProtection="1">
      <alignment horizontal="center"/>
      <protection locked="0"/>
    </xf>
    <xf numFmtId="0" fontId="15" fillId="0" borderId="34" xfId="0" applyFont="1" applyBorder="1" applyAlignment="1" applyProtection="1">
      <alignment horizontal="center" vertical="center"/>
      <protection hidden="1"/>
    </xf>
    <xf numFmtId="0" fontId="13" fillId="0" borderId="35" xfId="0" applyFont="1" applyBorder="1" applyAlignment="1" applyProtection="1">
      <alignment horizontal="center" vertical="center"/>
      <protection hidden="1"/>
    </xf>
    <xf numFmtId="0" fontId="13" fillId="0" borderId="36" xfId="0" applyFont="1" applyBorder="1" applyAlignment="1" applyProtection="1">
      <alignment horizontal="center" vertical="center"/>
      <protection hidden="1"/>
    </xf>
    <xf numFmtId="0" fontId="13" fillId="0" borderId="37" xfId="0" applyFont="1" applyBorder="1" applyAlignment="1" applyProtection="1">
      <alignment horizontal="center" vertical="center"/>
      <protection hidden="1"/>
    </xf>
    <xf numFmtId="0" fontId="13" fillId="0" borderId="34" xfId="0" applyFont="1" applyBorder="1" applyAlignment="1" applyProtection="1">
      <alignment horizontal="center" vertical="center"/>
      <protection hidden="1"/>
    </xf>
    <xf numFmtId="0" fontId="17" fillId="0" borderId="28" xfId="0" applyFont="1" applyFill="1" applyBorder="1" applyAlignment="1" applyProtection="1">
      <alignment horizontal="center" vertical="top"/>
      <protection hidden="1"/>
    </xf>
    <xf numFmtId="0" fontId="6" fillId="0" borderId="38" xfId="0" applyFont="1" applyBorder="1" applyAlignment="1" applyProtection="1">
      <alignment vertical="center"/>
      <protection/>
    </xf>
    <xf numFmtId="0" fontId="6" fillId="0" borderId="39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6" fillId="0" borderId="3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/>
      <protection/>
    </xf>
    <xf numFmtId="0" fontId="17" fillId="0" borderId="3" xfId="0" applyFont="1" applyBorder="1" applyAlignment="1" applyProtection="1">
      <alignment/>
      <protection/>
    </xf>
    <xf numFmtId="0" fontId="17" fillId="0" borderId="3" xfId="0" applyFont="1" applyFill="1" applyBorder="1" applyAlignment="1" applyProtection="1">
      <alignment vertical="top"/>
      <protection/>
    </xf>
    <xf numFmtId="0" fontId="17" fillId="0" borderId="4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top"/>
      <protection/>
    </xf>
    <xf numFmtId="0" fontId="13" fillId="0" borderId="0" xfId="0" applyFont="1" applyAlignment="1" applyProtection="1">
      <alignment/>
      <protection/>
    </xf>
    <xf numFmtId="0" fontId="17" fillId="0" borderId="40" xfId="0" applyFont="1" applyBorder="1" applyAlignment="1" applyProtection="1">
      <alignment horizontal="center" textRotation="90"/>
      <protection locked="0"/>
    </xf>
    <xf numFmtId="0" fontId="0" fillId="0" borderId="0" xfId="0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8" fillId="0" borderId="0" xfId="0" applyFont="1" applyBorder="1" applyAlignment="1" quotePrefix="1">
      <alignment/>
    </xf>
    <xf numFmtId="0" fontId="27" fillId="0" borderId="0" xfId="0" applyFont="1" applyBorder="1" applyAlignment="1" applyProtection="1">
      <alignment/>
      <protection hidden="1"/>
    </xf>
    <xf numFmtId="0" fontId="13" fillId="0" borderId="41" xfId="0" applyFont="1" applyBorder="1" applyAlignment="1" applyProtection="1">
      <alignment horizontal="center" vertical="center"/>
      <protection hidden="1"/>
    </xf>
    <xf numFmtId="0" fontId="13" fillId="0" borderId="26" xfId="0" applyFont="1" applyBorder="1" applyAlignment="1" applyProtection="1">
      <alignment horizontal="center" vertical="center"/>
      <protection hidden="1"/>
    </xf>
    <xf numFmtId="0" fontId="17" fillId="0" borderId="5" xfId="0" applyFont="1" applyBorder="1" applyAlignment="1" applyProtection="1">
      <alignment vertical="center"/>
      <protection hidden="1"/>
    </xf>
    <xf numFmtId="0" fontId="9" fillId="0" borderId="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8" fillId="0" borderId="0" xfId="22" applyFont="1" applyAlignment="1">
      <alignment horizontal="center"/>
      <protection/>
    </xf>
    <xf numFmtId="0" fontId="8" fillId="0" borderId="0" xfId="22" applyFont="1" applyBorder="1" applyAlignment="1">
      <alignment horizontal="center"/>
      <protection/>
    </xf>
    <xf numFmtId="0" fontId="8" fillId="0" borderId="3" xfId="22" applyFont="1" applyBorder="1" applyAlignment="1">
      <alignment horizontal="center"/>
      <protection/>
    </xf>
    <xf numFmtId="2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17" fillId="0" borderId="3" xfId="0" applyFont="1" applyFill="1" applyBorder="1" applyAlignment="1" applyProtection="1">
      <alignment horizontal="centerContinuous" vertical="top"/>
      <protection/>
    </xf>
    <xf numFmtId="0" fontId="17" fillId="0" borderId="31" xfId="0" applyFont="1" applyFill="1" applyBorder="1" applyAlignment="1" applyProtection="1">
      <alignment horizontal="centerContinuous" vertical="center"/>
      <protection/>
    </xf>
    <xf numFmtId="0" fontId="17" fillId="0" borderId="30" xfId="0" applyFont="1" applyFill="1" applyBorder="1" applyAlignment="1" applyProtection="1">
      <alignment horizontal="centerContinuous" vertical="center"/>
      <protection/>
    </xf>
    <xf numFmtId="0" fontId="17" fillId="0" borderId="42" xfId="0" applyFont="1" applyFill="1" applyBorder="1" applyAlignment="1" applyProtection="1">
      <alignment horizontal="centerContinuous" vertical="center"/>
      <protection/>
    </xf>
    <xf numFmtId="0" fontId="17" fillId="0" borderId="2" xfId="0" applyFont="1" applyFill="1" applyBorder="1" applyAlignment="1" applyProtection="1">
      <alignment vertical="top"/>
      <protection/>
    </xf>
    <xf numFmtId="0" fontId="19" fillId="0" borderId="43" xfId="0" applyFont="1" applyFill="1" applyBorder="1" applyAlignment="1" applyProtection="1">
      <alignment/>
      <protection/>
    </xf>
    <xf numFmtId="0" fontId="19" fillId="0" borderId="39" xfId="0" applyFont="1" applyFill="1" applyBorder="1" applyAlignment="1" applyProtection="1">
      <alignment vertical="center"/>
      <protection/>
    </xf>
    <xf numFmtId="0" fontId="26" fillId="0" borderId="39" xfId="0" applyFont="1" applyFill="1" applyBorder="1" applyAlignment="1" applyProtection="1">
      <alignment/>
      <protection/>
    </xf>
    <xf numFmtId="0" fontId="15" fillId="0" borderId="39" xfId="0" applyFont="1" applyBorder="1" applyAlignment="1" applyProtection="1">
      <alignment/>
      <protection/>
    </xf>
    <xf numFmtId="0" fontId="25" fillId="0" borderId="39" xfId="0" applyFont="1" applyFill="1" applyBorder="1" applyAlignment="1" applyProtection="1">
      <alignment/>
      <protection/>
    </xf>
    <xf numFmtId="0" fontId="17" fillId="0" borderId="39" xfId="0" applyFont="1" applyBorder="1" applyAlignment="1" applyProtection="1">
      <alignment/>
      <protection/>
    </xf>
    <xf numFmtId="0" fontId="17" fillId="0" borderId="39" xfId="0" applyFont="1" applyFill="1" applyBorder="1" applyAlignment="1" applyProtection="1">
      <alignment vertical="top"/>
      <protection/>
    </xf>
    <xf numFmtId="0" fontId="17" fillId="0" borderId="39" xfId="0" applyFont="1" applyFill="1" applyBorder="1" applyAlignment="1" applyProtection="1">
      <alignment horizontal="center" vertical="top"/>
      <protection/>
    </xf>
    <xf numFmtId="0" fontId="15" fillId="0" borderId="44" xfId="0" applyFont="1" applyBorder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17" fillId="0" borderId="19" xfId="0" applyFont="1" applyBorder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Continuous"/>
      <protection hidden="1"/>
    </xf>
    <xf numFmtId="0" fontId="11" fillId="0" borderId="0" xfId="0" applyFont="1" applyAlignment="1">
      <alignment horizontal="centerContinuous"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8" fillId="0" borderId="1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3" fillId="0" borderId="1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 horizontal="right"/>
      <protection/>
    </xf>
    <xf numFmtId="0" fontId="13" fillId="0" borderId="1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8" fillId="0" borderId="1" xfId="0" applyFont="1" applyBorder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 vertical="center" wrapText="1"/>
      <protection/>
    </xf>
    <xf numFmtId="0" fontId="18" fillId="0" borderId="1" xfId="0" applyFont="1" applyFill="1" applyBorder="1" applyAlignment="1" applyProtection="1">
      <alignment horizontal="left"/>
      <protection/>
    </xf>
    <xf numFmtId="184" fontId="18" fillId="0" borderId="0" xfId="0" applyNumberFormat="1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left"/>
      <protection/>
    </xf>
    <xf numFmtId="0" fontId="18" fillId="0" borderId="0" xfId="0" applyNumberFormat="1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horizontal="right" vertical="center"/>
      <protection/>
    </xf>
    <xf numFmtId="0" fontId="13" fillId="0" borderId="1" xfId="0" applyFont="1" applyFill="1" applyBorder="1" applyAlignment="1" applyProtection="1">
      <alignment vertical="center"/>
      <protection/>
    </xf>
    <xf numFmtId="0" fontId="10" fillId="0" borderId="2" xfId="0" applyFont="1" applyBorder="1" applyAlignment="1" applyProtection="1">
      <alignment vertical="center"/>
      <protection/>
    </xf>
    <xf numFmtId="0" fontId="13" fillId="0" borderId="1" xfId="0" applyFont="1" applyFill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left" vertical="center"/>
      <protection locked="0"/>
    </xf>
    <xf numFmtId="183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horizontal="left"/>
      <protection/>
    </xf>
    <xf numFmtId="183" fontId="13" fillId="0" borderId="0" xfId="0" applyNumberFormat="1" applyFont="1" applyBorder="1" applyAlignment="1" applyProtection="1">
      <alignment horizontal="left"/>
      <protection/>
    </xf>
    <xf numFmtId="49" fontId="13" fillId="0" borderId="0" xfId="0" applyNumberFormat="1" applyFont="1" applyBorder="1" applyAlignment="1" applyProtection="1">
      <alignment horizontal="right"/>
      <protection/>
    </xf>
    <xf numFmtId="0" fontId="13" fillId="0" borderId="0" xfId="0" applyFont="1" applyFill="1" applyBorder="1" applyAlignment="1">
      <alignment horizontal="right"/>
    </xf>
    <xf numFmtId="0" fontId="13" fillId="0" borderId="0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>
      <alignment horizontal="right"/>
    </xf>
    <xf numFmtId="0" fontId="19" fillId="0" borderId="0" xfId="0" applyFont="1" applyBorder="1" applyAlignment="1" applyProtection="1">
      <alignment horizontal="right"/>
      <protection locked="0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5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12" xfId="0" applyFont="1" applyBorder="1" applyAlignment="1" applyProtection="1">
      <alignment vertical="center"/>
      <protection/>
    </xf>
    <xf numFmtId="0" fontId="13" fillId="0" borderId="1" xfId="0" applyFont="1" applyFill="1" applyBorder="1" applyAlignment="1" applyProtection="1">
      <alignment vertical="center"/>
      <protection hidden="1"/>
    </xf>
    <xf numFmtId="0" fontId="13" fillId="0" borderId="1" xfId="0" applyFont="1" applyBorder="1" applyAlignment="1">
      <alignment horizontal="right" vertical="center"/>
    </xf>
    <xf numFmtId="0" fontId="13" fillId="0" borderId="2" xfId="0" applyFont="1" applyBorder="1" applyAlignment="1" applyProtection="1">
      <alignment vertical="center"/>
      <protection/>
    </xf>
    <xf numFmtId="0" fontId="17" fillId="0" borderId="0" xfId="0" applyFont="1" applyBorder="1" applyAlignment="1">
      <alignment horizontal="right" vertical="center"/>
    </xf>
    <xf numFmtId="0" fontId="13" fillId="0" borderId="3" xfId="0" applyFont="1" applyBorder="1" applyAlignment="1">
      <alignment horizontal="right"/>
    </xf>
    <xf numFmtId="3" fontId="13" fillId="0" borderId="0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17" fillId="0" borderId="9" xfId="0" applyFont="1" applyBorder="1" applyAlignment="1" applyProtection="1">
      <alignment vertical="center"/>
      <protection/>
    </xf>
    <xf numFmtId="4" fontId="15" fillId="0" borderId="3" xfId="0" applyNumberFormat="1" applyFont="1" applyBorder="1" applyAlignment="1" applyProtection="1">
      <alignment vertical="center"/>
      <protection hidden="1"/>
    </xf>
    <xf numFmtId="0" fontId="17" fillId="0" borderId="45" xfId="0" applyFont="1" applyBorder="1" applyAlignment="1" applyProtection="1">
      <alignment vertical="center"/>
      <protection/>
    </xf>
    <xf numFmtId="0" fontId="17" fillId="0" borderId="46" xfId="0" applyFont="1" applyBorder="1" applyAlignment="1" applyProtection="1">
      <alignment vertical="center"/>
      <protection/>
    </xf>
    <xf numFmtId="3" fontId="17" fillId="0" borderId="46" xfId="0" applyNumberFormat="1" applyFont="1" applyBorder="1" applyAlignment="1" applyProtection="1">
      <alignment horizontal="center" vertical="center"/>
      <protection/>
    </xf>
    <xf numFmtId="3" fontId="0" fillId="0" borderId="46" xfId="0" applyNumberFormat="1" applyBorder="1" applyAlignment="1" applyProtection="1">
      <alignment horizontal="center" vertical="center"/>
      <protection/>
    </xf>
    <xf numFmtId="3" fontId="17" fillId="0" borderId="47" xfId="0" applyNumberFormat="1" applyFont="1" applyBorder="1" applyAlignment="1" applyProtection="1">
      <alignment horizontal="right" vertical="center"/>
      <protection/>
    </xf>
    <xf numFmtId="3" fontId="17" fillId="0" borderId="0" xfId="21" applyNumberFormat="1" applyFont="1" applyBorder="1" applyAlignment="1" applyProtection="1">
      <alignment horizontal="center" vertical="center"/>
      <protection/>
    </xf>
    <xf numFmtId="3" fontId="0" fillId="0" borderId="0" xfId="21" applyNumberFormat="1" applyBorder="1" applyAlignment="1" applyProtection="1">
      <alignment horizontal="center" vertical="center"/>
      <protection/>
    </xf>
    <xf numFmtId="3" fontId="17" fillId="0" borderId="0" xfId="21" applyNumberFormat="1" applyFont="1" applyBorder="1" applyAlignment="1" applyProtection="1">
      <alignment horizontal="right" vertical="center"/>
      <protection/>
    </xf>
    <xf numFmtId="0" fontId="17" fillId="0" borderId="48" xfId="21" applyFont="1" applyFill="1" applyBorder="1" applyAlignment="1" applyProtection="1">
      <alignment horizontal="center" vertical="top"/>
      <protection hidden="1"/>
    </xf>
    <xf numFmtId="0" fontId="17" fillId="0" borderId="0" xfId="21" applyFont="1" applyAlignment="1" applyProtection="1">
      <alignment vertical="center"/>
      <protection/>
    </xf>
    <xf numFmtId="0" fontId="17" fillId="0" borderId="0" xfId="21" applyFont="1" applyBorder="1" applyAlignment="1" applyProtection="1">
      <alignment horizontal="left" vertical="center"/>
      <protection/>
    </xf>
    <xf numFmtId="0" fontId="17" fillId="0" borderId="0" xfId="21" applyFont="1" applyAlignment="1" applyProtection="1" quotePrefix="1">
      <alignment horizontal="center" vertical="center"/>
      <protection/>
    </xf>
    <xf numFmtId="0" fontId="17" fillId="0" borderId="0" xfId="21" applyFont="1" applyAlignment="1" applyProtection="1">
      <alignment horizontal="center" vertical="center"/>
      <protection/>
    </xf>
    <xf numFmtId="0" fontId="17" fillId="0" borderId="3" xfId="21" applyFont="1" applyBorder="1" applyAlignment="1" applyProtection="1">
      <alignment vertical="center"/>
      <protection/>
    </xf>
    <xf numFmtId="3" fontId="0" fillId="0" borderId="3" xfId="21" applyNumberFormat="1" applyBorder="1" applyAlignment="1" applyProtection="1">
      <alignment horizontal="center" vertical="center"/>
      <protection/>
    </xf>
    <xf numFmtId="3" fontId="17" fillId="0" borderId="3" xfId="21" applyNumberFormat="1" applyFont="1" applyBorder="1" applyAlignment="1" applyProtection="1">
      <alignment horizontal="center" vertical="center"/>
      <protection/>
    </xf>
    <xf numFmtId="0" fontId="17" fillId="0" borderId="29" xfId="21" applyFont="1" applyFill="1" applyBorder="1" applyAlignment="1" applyProtection="1">
      <alignment horizontal="center" vertical="top"/>
      <protection hidden="1"/>
    </xf>
    <xf numFmtId="4" fontId="17" fillId="0" borderId="0" xfId="21" applyNumberFormat="1" applyFont="1" applyBorder="1" applyAlignment="1" applyProtection="1">
      <alignment horizontal="center" vertical="center"/>
      <protection/>
    </xf>
    <xf numFmtId="0" fontId="17" fillId="0" borderId="49" xfId="0" applyFont="1" applyBorder="1" applyAlignment="1" applyProtection="1">
      <alignment vertical="center"/>
      <protection/>
    </xf>
    <xf numFmtId="189" fontId="14" fillId="0" borderId="11" xfId="0" applyNumberFormat="1" applyFont="1" applyBorder="1" applyAlignment="1" applyProtection="1">
      <alignment horizontal="center" vertical="center"/>
      <protection hidden="1"/>
    </xf>
    <xf numFmtId="0" fontId="14" fillId="0" borderId="11" xfId="0" applyFont="1" applyBorder="1" applyAlignment="1" applyProtection="1">
      <alignment horizontal="right" vertical="center"/>
      <protection/>
    </xf>
    <xf numFmtId="3" fontId="14" fillId="0" borderId="11" xfId="0" applyNumberFormat="1" applyFont="1" applyBorder="1" applyAlignment="1" applyProtection="1">
      <alignment horizontal="right" vertical="center"/>
      <protection hidden="1"/>
    </xf>
    <xf numFmtId="189" fontId="15" fillId="0" borderId="11" xfId="0" applyNumberFormat="1" applyFont="1" applyBorder="1" applyAlignment="1" applyProtection="1">
      <alignment horizontal="right" vertical="center"/>
      <protection hidden="1"/>
    </xf>
    <xf numFmtId="0" fontId="17" fillId="0" borderId="0" xfId="0" applyFont="1" applyFill="1" applyBorder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27" fillId="0" borderId="39" xfId="21" applyFont="1" applyBorder="1" applyAlignment="1" applyProtection="1">
      <alignment horizontal="left" vertical="center"/>
      <protection/>
    </xf>
    <xf numFmtId="0" fontId="13" fillId="0" borderId="0" xfId="0" applyNumberFormat="1" applyFont="1" applyBorder="1" applyAlignment="1" applyProtection="1">
      <alignment horizontal="right"/>
      <protection/>
    </xf>
    <xf numFmtId="184" fontId="13" fillId="0" borderId="0" xfId="0" applyNumberFormat="1" applyFont="1" applyBorder="1" applyAlignment="1" applyProtection="1">
      <alignment horizontal="right"/>
      <protection/>
    </xf>
    <xf numFmtId="0" fontId="6" fillId="0" borderId="2" xfId="0" applyFont="1" applyFill="1" applyBorder="1" applyAlignment="1" applyProtection="1">
      <alignment horizontal="left" vertical="center"/>
      <protection/>
    </xf>
    <xf numFmtId="0" fontId="8" fillId="0" borderId="3" xfId="0" applyFont="1" applyBorder="1" applyAlignment="1" applyProtection="1">
      <alignment vertical="center"/>
      <protection/>
    </xf>
    <xf numFmtId="183" fontId="8" fillId="0" borderId="3" xfId="0" applyNumberFormat="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top"/>
      <protection/>
    </xf>
    <xf numFmtId="0" fontId="19" fillId="0" borderId="1" xfId="0" applyFont="1" applyBorder="1" applyAlignment="1" applyProtection="1">
      <alignment vertical="top"/>
      <protection/>
    </xf>
    <xf numFmtId="0" fontId="18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right" vertical="center"/>
      <protection/>
    </xf>
    <xf numFmtId="3" fontId="18" fillId="0" borderId="0" xfId="0" applyNumberFormat="1" applyFont="1" applyFill="1" applyAlignment="1" applyProtection="1">
      <alignment horizontal="center"/>
      <protection locked="0"/>
    </xf>
    <xf numFmtId="3" fontId="18" fillId="0" borderId="0" xfId="0" applyNumberFormat="1" applyFont="1" applyFill="1" applyBorder="1" applyAlignment="1" applyProtection="1">
      <alignment horizontal="left"/>
      <protection locked="0"/>
    </xf>
    <xf numFmtId="3" fontId="18" fillId="0" borderId="0" xfId="0" applyNumberFormat="1" applyFont="1" applyAlignment="1" applyProtection="1">
      <alignment horizontal="center"/>
      <protection locked="0"/>
    </xf>
    <xf numFmtId="14" fontId="13" fillId="0" borderId="0" xfId="0" applyNumberFormat="1" applyFont="1" applyFill="1" applyBorder="1" applyAlignment="1" applyProtection="1">
      <alignment horizontal="right"/>
      <protection/>
    </xf>
    <xf numFmtId="4" fontId="13" fillId="0" borderId="0" xfId="0" applyNumberFormat="1" applyFont="1" applyBorder="1" applyAlignment="1" applyProtection="1">
      <alignment horizontal="center"/>
      <protection/>
    </xf>
    <xf numFmtId="183" fontId="13" fillId="0" borderId="0" xfId="0" applyNumberFormat="1" applyFont="1" applyFill="1" applyBorder="1" applyAlignment="1" applyProtection="1">
      <alignment horizontal="left"/>
      <protection/>
    </xf>
    <xf numFmtId="183" fontId="13" fillId="0" borderId="0" xfId="0" applyNumberFormat="1" applyFont="1" applyFill="1" applyBorder="1" applyAlignment="1" applyProtection="1">
      <alignment horizontal="right"/>
      <protection/>
    </xf>
    <xf numFmtId="0" fontId="17" fillId="0" borderId="6" xfId="0" applyFont="1" applyBorder="1" applyAlignment="1" applyProtection="1">
      <alignment vertical="center"/>
      <protection/>
    </xf>
    <xf numFmtId="3" fontId="19" fillId="0" borderId="6" xfId="0" applyNumberFormat="1" applyFont="1" applyBorder="1" applyAlignment="1" applyProtection="1">
      <alignment horizontal="center" vertical="center"/>
      <protection/>
    </xf>
    <xf numFmtId="4" fontId="19" fillId="0" borderId="6" xfId="0" applyNumberFormat="1" applyFont="1" applyBorder="1" applyAlignment="1" applyProtection="1">
      <alignment vertical="center"/>
      <protection/>
    </xf>
    <xf numFmtId="183" fontId="9" fillId="0" borderId="0" xfId="0" applyNumberFormat="1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5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right" vertical="top"/>
      <protection/>
    </xf>
    <xf numFmtId="0" fontId="17" fillId="0" borderId="1" xfId="0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7" fillId="0" borderId="50" xfId="0" applyFont="1" applyBorder="1" applyAlignment="1" applyProtection="1">
      <alignment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0" xfId="0" applyFont="1" applyFill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horizontal="right"/>
    </xf>
    <xf numFmtId="0" fontId="17" fillId="0" borderId="50" xfId="0" applyFont="1" applyBorder="1" applyAlignment="1">
      <alignment/>
    </xf>
    <xf numFmtId="0" fontId="17" fillId="0" borderId="0" xfId="0" applyFont="1" applyBorder="1" applyAlignment="1" applyProtection="1">
      <alignment horizontal="left" vertical="top"/>
      <protection/>
    </xf>
    <xf numFmtId="0" fontId="17" fillId="0" borderId="50" xfId="0" applyFont="1" applyBorder="1" applyAlignment="1" applyProtection="1">
      <alignment vertical="center"/>
      <protection/>
    </xf>
    <xf numFmtId="0" fontId="17" fillId="0" borderId="50" xfId="0" applyFont="1" applyFill="1" applyBorder="1" applyAlignment="1" applyProtection="1">
      <alignment horizontal="centerContinuous" vertical="center"/>
      <protection/>
    </xf>
    <xf numFmtId="0" fontId="25" fillId="0" borderId="50" xfId="0" applyFont="1" applyFill="1" applyBorder="1" applyAlignment="1" applyProtection="1">
      <alignment vertical="center"/>
      <protection/>
    </xf>
    <xf numFmtId="0" fontId="17" fillId="0" borderId="50" xfId="0" applyFont="1" applyBorder="1" applyAlignment="1" applyProtection="1">
      <alignment horizontal="right" vertical="center"/>
      <protection hidden="1"/>
    </xf>
    <xf numFmtId="0" fontId="25" fillId="0" borderId="50" xfId="0" applyFont="1" applyFill="1" applyBorder="1" applyAlignment="1" applyProtection="1">
      <alignment vertical="center"/>
      <protection hidden="1"/>
    </xf>
    <xf numFmtId="0" fontId="17" fillId="0" borderId="50" xfId="0" applyFont="1" applyBorder="1" applyAlignment="1" applyProtection="1">
      <alignment horizontal="right" vertical="center"/>
      <protection/>
    </xf>
    <xf numFmtId="0" fontId="19" fillId="0" borderId="5" xfId="0" applyFont="1" applyFill="1" applyBorder="1" applyAlignment="1" applyProtection="1">
      <alignment/>
      <protection/>
    </xf>
    <xf numFmtId="0" fontId="34" fillId="0" borderId="6" xfId="0" applyFont="1" applyFill="1" applyBorder="1" applyAlignment="1" applyProtection="1">
      <alignment vertical="center"/>
      <protection/>
    </xf>
    <xf numFmtId="0" fontId="17" fillId="0" borderId="6" xfId="0" applyFont="1" applyFill="1" applyBorder="1" applyAlignment="1" applyProtection="1">
      <alignment/>
      <protection/>
    </xf>
    <xf numFmtId="0" fontId="34" fillId="0" borderId="6" xfId="0" applyFont="1" applyFill="1" applyBorder="1" applyAlignment="1" applyProtection="1">
      <alignment horizontal="centerContinuous" vertical="center"/>
      <protection/>
    </xf>
    <xf numFmtId="0" fontId="17" fillId="0" borderId="6" xfId="0" applyFont="1" applyFill="1" applyBorder="1" applyAlignment="1" applyProtection="1">
      <alignment horizontal="centerContinuous" vertical="center"/>
      <protection/>
    </xf>
    <xf numFmtId="0" fontId="17" fillId="0" borderId="51" xfId="0" applyFont="1" applyFill="1" applyBorder="1" applyAlignment="1" applyProtection="1">
      <alignment horizontal="centerContinuous" vertical="center"/>
      <protection/>
    </xf>
    <xf numFmtId="0" fontId="17" fillId="0" borderId="9" xfId="0" applyFont="1" applyFill="1" applyBorder="1" applyAlignment="1" applyProtection="1">
      <alignment horizontal="left"/>
      <protection/>
    </xf>
    <xf numFmtId="0" fontId="17" fillId="0" borderId="3" xfId="0" applyFont="1" applyBorder="1" applyAlignment="1" applyProtection="1">
      <alignment/>
      <protection/>
    </xf>
    <xf numFmtId="183" fontId="17" fillId="0" borderId="3" xfId="0" applyNumberFormat="1" applyFont="1" applyBorder="1" applyAlignment="1" applyProtection="1">
      <alignment horizontal="centerContinuous"/>
      <protection/>
    </xf>
    <xf numFmtId="0" fontId="17" fillId="0" borderId="3" xfId="0" applyFont="1" applyBorder="1" applyAlignment="1" applyProtection="1">
      <alignment horizontal="right"/>
      <protection/>
    </xf>
    <xf numFmtId="9" fontId="17" fillId="0" borderId="3" xfId="0" applyNumberFormat="1" applyFont="1" applyBorder="1" applyAlignment="1" applyProtection="1">
      <alignment horizontal="centerContinuous"/>
      <protection/>
    </xf>
    <xf numFmtId="0" fontId="17" fillId="0" borderId="3" xfId="0" applyFont="1" applyBorder="1" applyAlignment="1" applyProtection="1">
      <alignment horizontal="centerContinuous"/>
      <protection/>
    </xf>
    <xf numFmtId="0" fontId="17" fillId="0" borderId="52" xfId="0" applyFont="1" applyBorder="1" applyAlignment="1" applyProtection="1">
      <alignment/>
      <protection/>
    </xf>
    <xf numFmtId="0" fontId="19" fillId="0" borderId="1" xfId="0" applyFont="1" applyFill="1" applyBorder="1" applyAlignment="1" applyProtection="1">
      <alignment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34" fillId="0" borderId="0" xfId="0" applyFont="1" applyFill="1" applyBorder="1" applyAlignment="1" applyProtection="1">
      <alignment horizontal="centerContinuous" vertical="center"/>
      <protection hidden="1"/>
    </xf>
    <xf numFmtId="0" fontId="17" fillId="0" borderId="0" xfId="0" applyFont="1" applyFill="1" applyBorder="1" applyAlignment="1" applyProtection="1">
      <alignment horizontal="centerContinuous" vertical="center"/>
      <protection hidden="1"/>
    </xf>
    <xf numFmtId="0" fontId="17" fillId="0" borderId="50" xfId="0" applyFont="1" applyFill="1" applyBorder="1" applyAlignment="1" applyProtection="1">
      <alignment horizontal="centerContinuous" vertical="center"/>
      <protection hidden="1"/>
    </xf>
    <xf numFmtId="0" fontId="17" fillId="0" borderId="9" xfId="0" applyFont="1" applyBorder="1" applyAlignment="1" applyProtection="1">
      <alignment/>
      <protection/>
    </xf>
    <xf numFmtId="0" fontId="19" fillId="0" borderId="3" xfId="0" applyFont="1" applyBorder="1" applyAlignment="1" applyProtection="1">
      <alignment horizontal="center"/>
      <protection/>
    </xf>
    <xf numFmtId="0" fontId="17" fillId="0" borderId="3" xfId="0" applyFont="1" applyFill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Continuous"/>
      <protection/>
    </xf>
    <xf numFmtId="0" fontId="17" fillId="0" borderId="9" xfId="0" applyFont="1" applyBorder="1" applyAlignment="1" applyProtection="1">
      <alignment/>
      <protection hidden="1"/>
    </xf>
    <xf numFmtId="0" fontId="17" fillId="0" borderId="3" xfId="0" applyFont="1" applyBorder="1" applyAlignment="1" applyProtection="1">
      <alignment/>
      <protection hidden="1"/>
    </xf>
    <xf numFmtId="0" fontId="19" fillId="0" borderId="3" xfId="0" applyFont="1" applyBorder="1" applyAlignment="1" applyProtection="1">
      <alignment horizontal="center"/>
      <protection hidden="1"/>
    </xf>
    <xf numFmtId="0" fontId="17" fillId="0" borderId="3" xfId="0" applyFont="1" applyFill="1" applyBorder="1" applyAlignment="1" applyProtection="1">
      <alignment/>
      <protection hidden="1"/>
    </xf>
    <xf numFmtId="0" fontId="17" fillId="0" borderId="3" xfId="0" applyFont="1" applyBorder="1" applyAlignment="1" applyProtection="1">
      <alignment horizontal="centerContinuous"/>
      <protection hidden="1"/>
    </xf>
    <xf numFmtId="0" fontId="17" fillId="0" borderId="52" xfId="0" applyFont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 horizontal="right"/>
      <protection/>
    </xf>
    <xf numFmtId="0" fontId="19" fillId="0" borderId="1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 hidden="1"/>
    </xf>
    <xf numFmtId="0" fontId="17" fillId="0" borderId="0" xfId="0" applyFont="1" applyFill="1" applyAlignment="1" applyProtection="1">
      <alignment horizontal="right"/>
      <protection hidden="1"/>
    </xf>
    <xf numFmtId="0" fontId="19" fillId="0" borderId="1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 hidden="1"/>
    </xf>
    <xf numFmtId="0" fontId="17" fillId="0" borderId="0" xfId="0" applyFont="1" applyAlignment="1" applyProtection="1">
      <alignment/>
      <protection locked="0"/>
    </xf>
    <xf numFmtId="14" fontId="17" fillId="0" borderId="0" xfId="0" applyNumberFormat="1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vertical="top"/>
      <protection/>
    </xf>
    <xf numFmtId="3" fontId="17" fillId="0" borderId="3" xfId="21" applyNumberFormat="1" applyFont="1" applyBorder="1" applyAlignment="1" applyProtection="1">
      <alignment horizontal="right" vertical="center"/>
      <protection hidden="1"/>
    </xf>
    <xf numFmtId="0" fontId="19" fillId="0" borderId="3" xfId="0" applyFont="1" applyBorder="1" applyAlignment="1" applyProtection="1">
      <alignment horizontal="right" vertical="center"/>
      <protection/>
    </xf>
    <xf numFmtId="4" fontId="14" fillId="0" borderId="46" xfId="0" applyNumberFormat="1" applyFont="1" applyBorder="1" applyAlignment="1" applyProtection="1">
      <alignment vertical="center"/>
      <protection hidden="1"/>
    </xf>
    <xf numFmtId="43" fontId="0" fillId="0" borderId="0" xfId="0" applyNumberFormat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195" fontId="18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Border="1" applyAlignment="1" applyProtection="1">
      <alignment horizontal="center"/>
      <protection/>
    </xf>
    <xf numFmtId="0" fontId="19" fillId="0" borderId="17" xfId="0" applyFont="1" applyFill="1" applyBorder="1" applyAlignment="1" applyProtection="1">
      <alignment/>
      <protection/>
    </xf>
    <xf numFmtId="0" fontId="17" fillId="0" borderId="17" xfId="0" applyFont="1" applyBorder="1" applyAlignment="1" applyProtection="1">
      <alignment/>
      <protection/>
    </xf>
    <xf numFmtId="0" fontId="17" fillId="0" borderId="17" xfId="0" applyFont="1" applyFill="1" applyBorder="1" applyAlignment="1" applyProtection="1">
      <alignment/>
      <protection/>
    </xf>
    <xf numFmtId="0" fontId="17" fillId="0" borderId="17" xfId="0" applyFont="1" applyBorder="1" applyAlignment="1" applyProtection="1">
      <alignment horizontal="center"/>
      <protection/>
    </xf>
    <xf numFmtId="0" fontId="17" fillId="0" borderId="17" xfId="0" applyFont="1" applyBorder="1" applyAlignment="1" applyProtection="1">
      <alignment horizontal="center"/>
      <protection hidden="1"/>
    </xf>
    <xf numFmtId="0" fontId="17" fillId="0" borderId="17" xfId="0" applyFont="1" applyBorder="1" applyAlignment="1" applyProtection="1">
      <alignment horizontal="centerContinuous"/>
      <protection/>
    </xf>
    <xf numFmtId="1" fontId="18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3" fontId="28" fillId="0" borderId="11" xfId="0" applyNumberFormat="1" applyFont="1" applyBorder="1" applyAlignment="1" applyProtection="1">
      <alignment horizontal="center" vertical="center"/>
      <protection hidden="1"/>
    </xf>
    <xf numFmtId="0" fontId="6" fillId="0" borderId="53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8" fillId="3" borderId="2" xfId="22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 hidden="1"/>
    </xf>
    <xf numFmtId="0" fontId="1" fillId="4" borderId="0" xfId="0" applyFont="1" applyFill="1" applyAlignment="1">
      <alignment/>
    </xf>
    <xf numFmtId="0" fontId="11" fillId="4" borderId="3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7" fillId="0" borderId="0" xfId="0" applyFont="1" applyBorder="1" applyAlignment="1" applyProtection="1">
      <alignment horizontal="left"/>
      <protection hidden="1"/>
    </xf>
    <xf numFmtId="2" fontId="35" fillId="0" borderId="0" xfId="24" applyNumberFormat="1" applyFont="1" applyFill="1" applyBorder="1" applyAlignment="1" applyProtection="1">
      <alignment horizontal="right"/>
      <protection hidden="1"/>
    </xf>
    <xf numFmtId="0" fontId="18" fillId="0" borderId="0" xfId="0" applyFont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left"/>
    </xf>
    <xf numFmtId="193" fontId="6" fillId="0" borderId="0" xfId="0" applyNumberFormat="1" applyFont="1" applyFill="1" applyAlignment="1" applyProtection="1">
      <alignment horizontal="center"/>
      <protection hidden="1"/>
    </xf>
    <xf numFmtId="1" fontId="6" fillId="0" borderId="0" xfId="0" applyNumberFormat="1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right"/>
      <protection hidden="1"/>
    </xf>
    <xf numFmtId="2" fontId="6" fillId="0" borderId="0" xfId="0" applyNumberFormat="1" applyFont="1" applyFill="1" applyAlignment="1" applyProtection="1">
      <alignment horizontal="center"/>
      <protection hidden="1"/>
    </xf>
    <xf numFmtId="193" fontId="6" fillId="0" borderId="3" xfId="0" applyNumberFormat="1" applyFont="1" applyFill="1" applyBorder="1" applyAlignment="1" applyProtection="1">
      <alignment horizontal="center"/>
      <protection hidden="1"/>
    </xf>
    <xf numFmtId="1" fontId="6" fillId="0" borderId="3" xfId="0" applyNumberFormat="1" applyFont="1" applyFill="1" applyBorder="1" applyAlignment="1" applyProtection="1">
      <alignment horizontal="center"/>
      <protection hidden="1"/>
    </xf>
    <xf numFmtId="0" fontId="0" fillId="0" borderId="3" xfId="0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6" fillId="0" borderId="0" xfId="0" applyFont="1" applyAlignment="1" applyProtection="1">
      <alignment/>
      <protection/>
    </xf>
    <xf numFmtId="0" fontId="36" fillId="0" borderId="0" xfId="0" applyFont="1" applyAlignment="1" applyProtection="1">
      <alignment vertical="center"/>
      <protection/>
    </xf>
    <xf numFmtId="0" fontId="37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93" fontId="19" fillId="0" borderId="0" xfId="24" applyNumberFormat="1" applyFont="1" applyFill="1" applyBorder="1" applyAlignment="1" applyProtection="1">
      <alignment horizontal="center"/>
      <protection hidden="1"/>
    </xf>
    <xf numFmtId="183" fontId="18" fillId="0" borderId="0" xfId="0" applyNumberFormat="1" applyFont="1" applyFill="1" applyBorder="1" applyAlignment="1" applyProtection="1">
      <alignment horizontal="left"/>
      <protection/>
    </xf>
    <xf numFmtId="0" fontId="6" fillId="0" borderId="54" xfId="0" applyFont="1" applyBorder="1" applyAlignment="1" applyProtection="1">
      <alignment/>
      <protection hidden="1"/>
    </xf>
    <xf numFmtId="0" fontId="17" fillId="0" borderId="55" xfId="0" applyFont="1" applyBorder="1" applyAlignment="1" applyProtection="1">
      <alignment horizontal="center" vertical="center"/>
      <protection hidden="1"/>
    </xf>
    <xf numFmtId="3" fontId="13" fillId="0" borderId="0" xfId="0" applyNumberFormat="1" applyFont="1" applyBorder="1" applyAlignment="1" applyProtection="1">
      <alignment horizontal="center" vertical="center"/>
      <protection hidden="1"/>
    </xf>
    <xf numFmtId="4" fontId="13" fillId="0" borderId="0" xfId="0" applyNumberFormat="1" applyFont="1" applyBorder="1" applyAlignment="1" applyProtection="1">
      <alignment horizontal="center" vertical="center"/>
      <protection hidden="1"/>
    </xf>
    <xf numFmtId="0" fontId="13" fillId="0" borderId="17" xfId="0" applyFont="1" applyBorder="1" applyAlignment="1" applyProtection="1">
      <alignment horizontal="center" vertical="center"/>
      <protection hidden="1"/>
    </xf>
    <xf numFmtId="0" fontId="13" fillId="0" borderId="33" xfId="0" applyFont="1" applyFill="1" applyBorder="1" applyAlignment="1" applyProtection="1">
      <alignment horizontal="center" vertical="center"/>
      <protection locked="0"/>
    </xf>
    <xf numFmtId="0" fontId="13" fillId="0" borderId="56" xfId="0" applyFont="1" applyFill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56" xfId="0" applyFont="1" applyBorder="1" applyAlignment="1" applyProtection="1">
      <alignment horizontal="center" vertical="center"/>
      <protection locked="0"/>
    </xf>
    <xf numFmtId="2" fontId="13" fillId="0" borderId="33" xfId="0" applyNumberFormat="1" applyFont="1" applyFill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hidden="1"/>
    </xf>
    <xf numFmtId="2" fontId="13" fillId="0" borderId="56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9" xfId="0" applyFont="1" applyBorder="1" applyAlignment="1" applyProtection="1">
      <alignment horizontal="center" vertical="center"/>
      <protection hidden="1"/>
    </xf>
    <xf numFmtId="0" fontId="10" fillId="0" borderId="57" xfId="0" applyFont="1" applyBorder="1" applyAlignment="1" applyProtection="1">
      <alignment horizontal="centerContinuous"/>
      <protection hidden="1"/>
    </xf>
    <xf numFmtId="0" fontId="6" fillId="0" borderId="57" xfId="0" applyFont="1" applyBorder="1" applyAlignment="1" applyProtection="1">
      <alignment horizontal="centerContinuous"/>
      <protection locked="0"/>
    </xf>
    <xf numFmtId="0" fontId="6" fillId="0" borderId="0" xfId="0" applyFont="1" applyBorder="1" applyAlignment="1" applyProtection="1">
      <alignment horizontal="centerContinuous" vertical="top"/>
      <protection hidden="1"/>
    </xf>
    <xf numFmtId="0" fontId="6" fillId="0" borderId="0" xfId="0" applyFont="1" applyBorder="1" applyAlignment="1" applyProtection="1">
      <alignment horizontal="centerContinuous" vertical="top"/>
      <protection locked="0"/>
    </xf>
    <xf numFmtId="0" fontId="17" fillId="0" borderId="2" xfId="0" applyFont="1" applyBorder="1" applyAlignment="1" applyProtection="1">
      <alignment vertical="center"/>
      <protection hidden="1"/>
    </xf>
    <xf numFmtId="0" fontId="17" fillId="0" borderId="4" xfId="0" applyFont="1" applyBorder="1" applyAlignment="1" applyProtection="1">
      <alignment vertical="center"/>
      <protection hidden="1"/>
    </xf>
    <xf numFmtId="0" fontId="13" fillId="5" borderId="0" xfId="0" applyFont="1" applyFill="1" applyAlignment="1" applyProtection="1">
      <alignment/>
      <protection hidden="1"/>
    </xf>
    <xf numFmtId="2" fontId="13" fillId="0" borderId="36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left"/>
      <protection hidden="1"/>
    </xf>
    <xf numFmtId="4" fontId="19" fillId="0" borderId="0" xfId="24" applyNumberFormat="1" applyFont="1" applyFill="1" applyBorder="1" applyAlignment="1" applyProtection="1">
      <alignment horizontal="center"/>
      <protection hidden="1"/>
    </xf>
    <xf numFmtId="0" fontId="19" fillId="0" borderId="1" xfId="0" applyFont="1" applyBorder="1" applyAlignment="1" applyProtection="1">
      <alignment horizontal="left"/>
      <protection hidden="1"/>
    </xf>
    <xf numFmtId="0" fontId="19" fillId="0" borderId="0" xfId="0" applyFont="1" applyAlignment="1" applyProtection="1">
      <alignment/>
      <protection hidden="1"/>
    </xf>
    <xf numFmtId="2" fontId="13" fillId="5" borderId="0" xfId="0" applyNumberFormat="1" applyFont="1" applyFill="1" applyAlignment="1" applyProtection="1">
      <alignment horizontal="left"/>
      <protection/>
    </xf>
    <xf numFmtId="2" fontId="13" fillId="6" borderId="0" xfId="0" applyNumberFormat="1" applyFont="1" applyFill="1" applyAlignment="1" applyProtection="1">
      <alignment horizontal="center"/>
      <protection hidden="1"/>
    </xf>
    <xf numFmtId="187" fontId="9" fillId="0" borderId="58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>
      <alignment vertical="center"/>
    </xf>
    <xf numFmtId="0" fontId="8" fillId="0" borderId="2" xfId="22" applyFont="1" applyFill="1" applyBorder="1" applyAlignment="1">
      <alignment horizontal="center"/>
      <protection/>
    </xf>
    <xf numFmtId="0" fontId="0" fillId="0" borderId="0" xfId="0" applyFont="1" applyAlignment="1">
      <alignment horizontal="justify"/>
    </xf>
    <xf numFmtId="1" fontId="18" fillId="0" borderId="0" xfId="0" applyNumberFormat="1" applyFont="1" applyAlignment="1" applyProtection="1">
      <alignment horizontal="center"/>
      <protection locked="0"/>
    </xf>
    <xf numFmtId="193" fontId="18" fillId="0" borderId="0" xfId="0" applyNumberFormat="1" applyFont="1" applyFill="1" applyBorder="1" applyAlignment="1" applyProtection="1">
      <alignment horizontal="left"/>
      <protection locked="0"/>
    </xf>
    <xf numFmtId="1" fontId="18" fillId="0" borderId="0" xfId="0" applyNumberFormat="1" applyFont="1" applyFill="1" applyBorder="1" applyAlignment="1" applyProtection="1">
      <alignment horizontal="left"/>
      <protection locked="0"/>
    </xf>
    <xf numFmtId="0" fontId="13" fillId="0" borderId="59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center"/>
      <protection hidden="1"/>
    </xf>
    <xf numFmtId="0" fontId="18" fillId="0" borderId="0" xfId="0" applyFont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 horizontal="center"/>
      <protection hidden="1"/>
    </xf>
    <xf numFmtId="0" fontId="17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 horizontal="left"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13" fillId="0" borderId="0" xfId="0" applyFont="1" applyAlignment="1" applyProtection="1">
      <alignment horizontal="right"/>
      <protection locked="0"/>
    </xf>
    <xf numFmtId="1" fontId="17" fillId="3" borderId="0" xfId="24" applyNumberFormat="1" applyFont="1" applyFill="1" applyBorder="1" applyAlignment="1" applyProtection="1" quotePrefix="1">
      <alignment horizontal="left"/>
      <protection locked="0"/>
    </xf>
    <xf numFmtId="0" fontId="9" fillId="0" borderId="0" xfId="0" applyFont="1" applyAlignment="1">
      <alignment horizontal="center"/>
    </xf>
    <xf numFmtId="10" fontId="6" fillId="0" borderId="0" xfId="24" applyNumberFormat="1" applyFont="1" applyAlignment="1">
      <alignment horizontal="center"/>
    </xf>
    <xf numFmtId="2" fontId="13" fillId="0" borderId="60" xfId="0" applyNumberFormat="1" applyFont="1" applyFill="1" applyBorder="1" applyAlignment="1" applyProtection="1">
      <alignment horizontal="center" vertical="center"/>
      <protection hidden="1"/>
    </xf>
    <xf numFmtId="1" fontId="17" fillId="5" borderId="0" xfId="24" applyNumberFormat="1" applyFont="1" applyFill="1" applyBorder="1" applyAlignment="1" applyProtection="1" quotePrefix="1">
      <alignment horizontal="center"/>
      <protection hidden="1"/>
    </xf>
    <xf numFmtId="0" fontId="6" fillId="7" borderId="1" xfId="0" applyFont="1" applyFill="1" applyBorder="1" applyAlignment="1">
      <alignment/>
    </xf>
    <xf numFmtId="0" fontId="6" fillId="7" borderId="0" xfId="0" applyFont="1" applyFill="1" applyAlignment="1">
      <alignment/>
    </xf>
    <xf numFmtId="0" fontId="8" fillId="7" borderId="0" xfId="0" applyFont="1" applyFill="1" applyAlignment="1" applyProtection="1">
      <alignment horizontal="centerContinuous"/>
      <protection hidden="1"/>
    </xf>
    <xf numFmtId="0" fontId="11" fillId="7" borderId="0" xfId="0" applyFont="1" applyFill="1" applyAlignment="1">
      <alignment horizontal="centerContinuous"/>
    </xf>
    <xf numFmtId="0" fontId="8" fillId="7" borderId="1" xfId="0" applyFont="1" applyFill="1" applyBorder="1" applyAlignment="1" applyProtection="1">
      <alignment horizontal="centerContinuous"/>
      <protection hidden="1"/>
    </xf>
    <xf numFmtId="0" fontId="35" fillId="0" borderId="0" xfId="0" applyFont="1" applyAlignment="1" applyProtection="1">
      <alignment vertical="center"/>
      <protection/>
    </xf>
    <xf numFmtId="10" fontId="0" fillId="0" borderId="0" xfId="0" applyNumberFormat="1" applyAlignment="1">
      <alignment/>
    </xf>
    <xf numFmtId="1" fontId="19" fillId="0" borderId="0" xfId="0" applyNumberFormat="1" applyFont="1" applyFill="1" applyAlignment="1" applyProtection="1" quotePrefix="1">
      <alignment horizontal="left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17" fillId="0" borderId="0" xfId="0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center"/>
      <protection/>
    </xf>
    <xf numFmtId="0" fontId="17" fillId="0" borderId="0" xfId="0" applyFont="1" applyFill="1" applyAlignment="1" applyProtection="1">
      <alignment/>
      <protection hidden="1"/>
    </xf>
    <xf numFmtId="0" fontId="17" fillId="0" borderId="0" xfId="0" applyFont="1" applyFill="1" applyBorder="1" applyAlignment="1" applyProtection="1">
      <alignment horizontal="right"/>
      <protection hidden="1"/>
    </xf>
    <xf numFmtId="0" fontId="18" fillId="0" borderId="0" xfId="0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 horizontal="left"/>
      <protection hidden="1"/>
    </xf>
    <xf numFmtId="183" fontId="17" fillId="0" borderId="0" xfId="0" applyNumberFormat="1" applyFont="1" applyFill="1" applyBorder="1" applyAlignment="1" applyProtection="1">
      <alignment horizontal="right"/>
      <protection hidden="1"/>
    </xf>
    <xf numFmtId="0" fontId="13" fillId="0" borderId="0" xfId="0" applyFont="1" applyFill="1" applyAlignment="1" applyProtection="1">
      <alignment horizontal="right"/>
      <protection hidden="1"/>
    </xf>
    <xf numFmtId="0" fontId="13" fillId="0" borderId="0" xfId="0" applyFont="1" applyFill="1" applyAlignment="1" applyProtection="1">
      <alignment vertical="center"/>
      <protection hidden="1"/>
    </xf>
    <xf numFmtId="183" fontId="13" fillId="0" borderId="0" xfId="0" applyNumberFormat="1" applyFont="1" applyFill="1" applyBorder="1" applyAlignment="1" applyProtection="1">
      <alignment horizontal="right"/>
      <protection hidden="1"/>
    </xf>
    <xf numFmtId="1" fontId="19" fillId="0" borderId="0" xfId="0" applyNumberFormat="1" applyFont="1" applyFill="1" applyBorder="1" applyAlignment="1" applyProtection="1">
      <alignment horizontal="left"/>
      <protection hidden="1"/>
    </xf>
    <xf numFmtId="193" fontId="19" fillId="0" borderId="0" xfId="24" applyNumberFormat="1" applyFont="1" applyFill="1" applyBorder="1" applyAlignment="1" applyProtection="1" quotePrefix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1" fontId="17" fillId="0" borderId="0" xfId="0" applyNumberFormat="1" applyFont="1" applyFill="1" applyAlignment="1" applyProtection="1">
      <alignment horizontal="left"/>
      <protection/>
    </xf>
    <xf numFmtId="0" fontId="19" fillId="0" borderId="0" xfId="0" applyFont="1" applyFill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centerContinuous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/>
      <protection hidden="1"/>
    </xf>
    <xf numFmtId="0" fontId="19" fillId="8" borderId="61" xfId="0" applyFont="1" applyFill="1" applyBorder="1" applyAlignment="1" applyProtection="1">
      <alignment vertical="center"/>
      <protection/>
    </xf>
    <xf numFmtId="0" fontId="19" fillId="8" borderId="62" xfId="0" applyFont="1" applyFill="1" applyBorder="1" applyAlignment="1" applyProtection="1">
      <alignment vertical="center"/>
      <protection/>
    </xf>
    <xf numFmtId="0" fontId="17" fillId="8" borderId="62" xfId="0" applyFont="1" applyFill="1" applyBorder="1" applyAlignment="1" applyProtection="1">
      <alignment vertical="center"/>
      <protection/>
    </xf>
    <xf numFmtId="0" fontId="19" fillId="8" borderId="62" xfId="0" applyFont="1" applyFill="1" applyBorder="1" applyAlignment="1" applyProtection="1">
      <alignment horizontal="center" vertical="center"/>
      <protection/>
    </xf>
    <xf numFmtId="0" fontId="19" fillId="8" borderId="62" xfId="0" applyFont="1" applyFill="1" applyBorder="1" applyAlignment="1" applyProtection="1">
      <alignment horizontal="right" vertical="center"/>
      <protection/>
    </xf>
    <xf numFmtId="0" fontId="19" fillId="8" borderId="62" xfId="0" applyFont="1" applyFill="1" applyBorder="1" applyAlignment="1" applyProtection="1">
      <alignment horizontal="left" vertical="center"/>
      <protection/>
    </xf>
    <xf numFmtId="0" fontId="19" fillId="8" borderId="17" xfId="0" applyFont="1" applyFill="1" applyBorder="1" applyAlignment="1" applyProtection="1">
      <alignment horizontal="right" vertical="center"/>
      <protection/>
    </xf>
    <xf numFmtId="0" fontId="19" fillId="8" borderId="17" xfId="0" applyFont="1" applyFill="1" applyBorder="1" applyAlignment="1" applyProtection="1">
      <alignment horizontal="center" vertical="center"/>
      <protection/>
    </xf>
    <xf numFmtId="0" fontId="17" fillId="8" borderId="63" xfId="0" applyFont="1" applyFill="1" applyBorder="1" applyAlignment="1" applyProtection="1">
      <alignment horizontal="centerContinuous" vertical="center"/>
      <protection/>
    </xf>
    <xf numFmtId="0" fontId="17" fillId="8" borderId="17" xfId="0" applyFont="1" applyFill="1" applyBorder="1" applyAlignment="1" applyProtection="1">
      <alignment vertical="center"/>
      <protection/>
    </xf>
    <xf numFmtId="4" fontId="19" fillId="8" borderId="17" xfId="0" applyNumberFormat="1" applyFont="1" applyFill="1" applyBorder="1" applyAlignment="1" applyProtection="1">
      <alignment horizontal="center" vertical="center"/>
      <protection hidden="1"/>
    </xf>
    <xf numFmtId="0" fontId="19" fillId="8" borderId="18" xfId="0" applyFont="1" applyFill="1" applyBorder="1" applyAlignment="1" applyProtection="1">
      <alignment/>
      <protection/>
    </xf>
    <xf numFmtId="0" fontId="9" fillId="8" borderId="17" xfId="0" applyFont="1" applyFill="1" applyBorder="1" applyAlignment="1" applyProtection="1">
      <alignment vertical="center"/>
      <protection/>
    </xf>
    <xf numFmtId="0" fontId="17" fillId="8" borderId="17" xfId="0" applyFont="1" applyFill="1" applyBorder="1" applyAlignment="1" applyProtection="1">
      <alignment/>
      <protection/>
    </xf>
    <xf numFmtId="0" fontId="10" fillId="8" borderId="17" xfId="0" applyFont="1" applyFill="1" applyBorder="1" applyAlignment="1" applyProtection="1">
      <alignment horizontal="right" vertical="center"/>
      <protection/>
    </xf>
    <xf numFmtId="0" fontId="17" fillId="8" borderId="17" xfId="0" applyFont="1" applyFill="1" applyBorder="1" applyAlignment="1" applyProtection="1">
      <alignment horizontal="centerContinuous"/>
      <protection/>
    </xf>
    <xf numFmtId="0" fontId="19" fillId="8" borderId="17" xfId="0" applyFont="1" applyFill="1" applyBorder="1" applyAlignment="1" applyProtection="1">
      <alignment horizontal="centerContinuous"/>
      <protection/>
    </xf>
    <xf numFmtId="0" fontId="19" fillId="8" borderId="17" xfId="0" applyFont="1" applyFill="1" applyBorder="1" applyAlignment="1" applyProtection="1">
      <alignment horizontal="center"/>
      <protection/>
    </xf>
    <xf numFmtId="0" fontId="17" fillId="8" borderId="4" xfId="0" applyFont="1" applyFill="1" applyBorder="1" applyAlignment="1" applyProtection="1">
      <alignment/>
      <protection/>
    </xf>
    <xf numFmtId="0" fontId="17" fillId="8" borderId="21" xfId="0" applyFont="1" applyFill="1" applyBorder="1" applyAlignment="1" applyProtection="1">
      <alignment/>
      <protection/>
    </xf>
    <xf numFmtId="0" fontId="9" fillId="8" borderId="53" xfId="0" applyFont="1" applyFill="1" applyBorder="1" applyAlignment="1" applyProtection="1">
      <alignment/>
      <protection hidden="1"/>
    </xf>
    <xf numFmtId="0" fontId="9" fillId="8" borderId="3" xfId="0" applyFont="1" applyFill="1" applyBorder="1" applyAlignment="1" applyProtection="1">
      <alignment vertical="center"/>
      <protection/>
    </xf>
    <xf numFmtId="0" fontId="8" fillId="8" borderId="10" xfId="0" applyFont="1" applyFill="1" applyBorder="1" applyAlignment="1" applyProtection="1">
      <alignment/>
      <protection hidden="1"/>
    </xf>
    <xf numFmtId="0" fontId="9" fillId="8" borderId="10" xfId="0" applyFont="1" applyFill="1" applyBorder="1" applyAlignment="1" applyProtection="1">
      <alignment horizontal="centerContinuous" vertical="center"/>
      <protection hidden="1"/>
    </xf>
    <xf numFmtId="0" fontId="8" fillId="8" borderId="10" xfId="0" applyFont="1" applyFill="1" applyBorder="1" applyAlignment="1" applyProtection="1">
      <alignment horizontal="centerContinuous" vertical="center"/>
      <protection hidden="1"/>
    </xf>
    <xf numFmtId="0" fontId="17" fillId="8" borderId="10" xfId="0" applyFont="1" applyFill="1" applyBorder="1" applyAlignment="1" applyProtection="1">
      <alignment horizontal="centerContinuous" vertical="center"/>
      <protection hidden="1"/>
    </xf>
    <xf numFmtId="0" fontId="19" fillId="8" borderId="10" xfId="0" applyFont="1" applyFill="1" applyBorder="1" applyAlignment="1" applyProtection="1">
      <alignment horizontal="right" vertical="center"/>
      <protection hidden="1"/>
    </xf>
    <xf numFmtId="0" fontId="19" fillId="8" borderId="64" xfId="0" applyFont="1" applyFill="1" applyBorder="1" applyAlignment="1" applyProtection="1">
      <alignment horizontal="right" vertical="center"/>
      <protection hidden="1"/>
    </xf>
    <xf numFmtId="0" fontId="19" fillId="8" borderId="10" xfId="0" applyFont="1" applyFill="1" applyBorder="1" applyAlignment="1" applyProtection="1">
      <alignment horizontal="centerContinuous" vertical="center"/>
      <protection hidden="1"/>
    </xf>
    <xf numFmtId="0" fontId="8" fillId="8" borderId="65" xfId="0" applyFont="1" applyFill="1" applyBorder="1" applyAlignment="1" applyProtection="1">
      <alignment horizontal="centerContinuous" vertical="center"/>
      <protection hidden="1"/>
    </xf>
    <xf numFmtId="0" fontId="10" fillId="8" borderId="18" xfId="0" applyFont="1" applyFill="1" applyBorder="1" applyAlignment="1" applyProtection="1">
      <alignment/>
      <protection/>
    </xf>
    <xf numFmtId="0" fontId="6" fillId="8" borderId="17" xfId="0" applyFont="1" applyFill="1" applyBorder="1" applyAlignment="1" applyProtection="1">
      <alignment/>
      <protection/>
    </xf>
    <xf numFmtId="0" fontId="24" fillId="8" borderId="17" xfId="0" applyFont="1" applyFill="1" applyBorder="1" applyAlignment="1" applyProtection="1">
      <alignment horizontal="centerContinuous" vertical="center"/>
      <protection/>
    </xf>
    <xf numFmtId="0" fontId="6" fillId="8" borderId="17" xfId="0" applyFont="1" applyFill="1" applyBorder="1" applyAlignment="1" applyProtection="1">
      <alignment horizontal="centerContinuous" vertical="center"/>
      <protection/>
    </xf>
    <xf numFmtId="0" fontId="6" fillId="8" borderId="21" xfId="0" applyFont="1" applyFill="1" applyBorder="1" applyAlignment="1" applyProtection="1">
      <alignment horizontal="centerContinuous" vertical="center"/>
      <protection/>
    </xf>
    <xf numFmtId="0" fontId="10" fillId="8" borderId="9" xfId="0" applyFont="1" applyFill="1" applyBorder="1" applyAlignment="1" applyProtection="1">
      <alignment vertical="center"/>
      <protection/>
    </xf>
    <xf numFmtId="0" fontId="6" fillId="8" borderId="3" xfId="0" applyFont="1" applyFill="1" applyBorder="1" applyAlignment="1" applyProtection="1">
      <alignment vertical="center"/>
      <protection/>
    </xf>
    <xf numFmtId="0" fontId="24" fillId="8" borderId="3" xfId="0" applyFont="1" applyFill="1" applyBorder="1" applyAlignment="1" applyProtection="1">
      <alignment horizontal="centerContinuous" vertical="center"/>
      <protection/>
    </xf>
    <xf numFmtId="0" fontId="6" fillId="8" borderId="3" xfId="0" applyFont="1" applyFill="1" applyBorder="1" applyAlignment="1" applyProtection="1">
      <alignment horizontal="centerContinuous" vertical="center"/>
      <protection/>
    </xf>
    <xf numFmtId="0" fontId="6" fillId="8" borderId="4" xfId="0" applyFont="1" applyFill="1" applyBorder="1" applyAlignment="1" applyProtection="1">
      <alignment horizontal="centerContinuous" vertical="center"/>
      <protection/>
    </xf>
    <xf numFmtId="0" fontId="19" fillId="8" borderId="18" xfId="0" applyFont="1" applyFill="1" applyBorder="1" applyAlignment="1" applyProtection="1">
      <alignment vertical="center"/>
      <protection/>
    </xf>
    <xf numFmtId="0" fontId="17" fillId="8" borderId="21" xfId="0" applyFont="1" applyFill="1" applyBorder="1" applyAlignment="1" applyProtection="1">
      <alignment vertical="center"/>
      <protection/>
    </xf>
    <xf numFmtId="0" fontId="19" fillId="8" borderId="17" xfId="0" applyFont="1" applyFill="1" applyBorder="1" applyAlignment="1" applyProtection="1">
      <alignment horizontal="right"/>
      <protection/>
    </xf>
    <xf numFmtId="0" fontId="6" fillId="8" borderId="0" xfId="0" applyFont="1" applyFill="1" applyBorder="1" applyAlignment="1" applyProtection="1">
      <alignment/>
      <protection/>
    </xf>
    <xf numFmtId="0" fontId="19" fillId="8" borderId="66" xfId="0" applyFont="1" applyFill="1" applyBorder="1" applyAlignment="1" applyProtection="1">
      <alignment/>
      <protection/>
    </xf>
    <xf numFmtId="0" fontId="19" fillId="8" borderId="17" xfId="0" applyFont="1" applyFill="1" applyBorder="1" applyAlignment="1" applyProtection="1">
      <alignment vertical="center"/>
      <protection/>
    </xf>
    <xf numFmtId="0" fontId="17" fillId="8" borderId="67" xfId="0" applyFont="1" applyFill="1" applyBorder="1" applyAlignment="1" applyProtection="1">
      <alignment horizontal="centerContinuous" vertical="center"/>
      <protection/>
    </xf>
    <xf numFmtId="0" fontId="19" fillId="8" borderId="62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left" vertical="center"/>
      <protection/>
    </xf>
    <xf numFmtId="0" fontId="17" fillId="0" borderId="0" xfId="0" applyFont="1" applyFill="1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center"/>
      <protection/>
    </xf>
    <xf numFmtId="10" fontId="13" fillId="0" borderId="0" xfId="24" applyNumberFormat="1" applyFont="1" applyFill="1" applyAlignment="1" applyProtection="1" quotePrefix="1">
      <alignment horizontal="left" vertical="center"/>
      <protection/>
    </xf>
    <xf numFmtId="10" fontId="13" fillId="0" borderId="0" xfId="24" applyNumberFormat="1" applyFont="1" applyFill="1" applyAlignment="1" applyProtection="1" quotePrefix="1">
      <alignment horizontal="left"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Alignment="1" applyProtection="1">
      <alignment horizontal="left"/>
      <protection/>
    </xf>
    <xf numFmtId="183" fontId="17" fillId="0" borderId="0" xfId="0" applyNumberFormat="1" applyFont="1" applyBorder="1" applyAlignment="1" applyProtection="1">
      <alignment horizontal="left"/>
      <protection/>
    </xf>
    <xf numFmtId="49" fontId="17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left"/>
      <protection hidden="1"/>
    </xf>
    <xf numFmtId="0" fontId="6" fillId="0" borderId="4" xfId="0" applyFont="1" applyBorder="1" applyAlignment="1">
      <alignment horizontal="right"/>
    </xf>
    <xf numFmtId="10" fontId="18" fillId="0" borderId="0" xfId="24" applyNumberFormat="1" applyFont="1" applyFill="1" applyBorder="1" applyAlignment="1" applyProtection="1" quotePrefix="1">
      <alignment horizontal="center"/>
      <protection hidden="1"/>
    </xf>
    <xf numFmtId="4" fontId="18" fillId="0" borderId="0" xfId="24" applyNumberFormat="1" applyFont="1" applyFill="1" applyBorder="1" applyAlignment="1" applyProtection="1" quotePrefix="1">
      <alignment horizontal="center"/>
      <protection hidden="1"/>
    </xf>
    <xf numFmtId="0" fontId="17" fillId="0" borderId="0" xfId="0" applyFont="1" applyBorder="1" applyAlignment="1" applyProtection="1">
      <alignment horizontal="centerContinuous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3" xfId="21" applyFont="1" applyBorder="1" applyAlignment="1" applyProtection="1">
      <alignment horizontal="right" vertical="center"/>
      <protection/>
    </xf>
    <xf numFmtId="0" fontId="17" fillId="0" borderId="0" xfId="21" applyFont="1" applyAlignment="1" applyProtection="1">
      <alignment horizontal="right" vertical="center"/>
      <protection/>
    </xf>
    <xf numFmtId="3" fontId="13" fillId="0" borderId="3" xfId="21" applyNumberFormat="1" applyFont="1" applyBorder="1" applyAlignment="1" applyProtection="1">
      <alignment horizontal="left" vertical="center"/>
      <protection/>
    </xf>
    <xf numFmtId="2" fontId="13" fillId="0" borderId="0" xfId="0" applyNumberFormat="1" applyFont="1" applyBorder="1" applyAlignment="1" applyProtection="1" quotePrefix="1">
      <alignment horizontal="left" vertical="center"/>
      <protection hidden="1"/>
    </xf>
    <xf numFmtId="0" fontId="17" fillId="0" borderId="30" xfId="0" applyFont="1" applyFill="1" applyBorder="1" applyAlignment="1" applyProtection="1">
      <alignment horizontal="centerContinuous" vertical="center" wrapText="1"/>
      <protection/>
    </xf>
    <xf numFmtId="0" fontId="17" fillId="0" borderId="3" xfId="0" applyFont="1" applyFill="1" applyBorder="1" applyAlignment="1" applyProtection="1">
      <alignment horizontal="centerContinuous" vertical="center" wrapText="1"/>
      <protection/>
    </xf>
    <xf numFmtId="0" fontId="15" fillId="0" borderId="0" xfId="0" applyFont="1" applyAlignment="1" applyProtection="1">
      <alignment horizontal="centerContinuous" vertical="center" wrapText="1"/>
      <protection hidden="1"/>
    </xf>
    <xf numFmtId="0" fontId="17" fillId="0" borderId="42" xfId="0" applyFont="1" applyFill="1" applyBorder="1" applyAlignment="1" applyProtection="1">
      <alignment horizontal="centerContinuous" vertical="center" wrapText="1"/>
      <protection/>
    </xf>
    <xf numFmtId="0" fontId="10" fillId="8" borderId="61" xfId="0" applyFont="1" applyFill="1" applyBorder="1" applyAlignment="1" applyProtection="1">
      <alignment vertical="center"/>
      <protection hidden="1"/>
    </xf>
    <xf numFmtId="0" fontId="9" fillId="8" borderId="62" xfId="0" applyFont="1" applyFill="1" applyBorder="1" applyAlignment="1" applyProtection="1">
      <alignment vertical="center"/>
      <protection hidden="1"/>
    </xf>
    <xf numFmtId="0" fontId="10" fillId="8" borderId="62" xfId="0" applyFont="1" applyFill="1" applyBorder="1" applyAlignment="1" applyProtection="1">
      <alignment vertical="center"/>
      <protection hidden="1"/>
    </xf>
    <xf numFmtId="0" fontId="10" fillId="8" borderId="62" xfId="0" applyFont="1" applyFill="1" applyBorder="1" applyAlignment="1" applyProtection="1">
      <alignment horizontal="centerContinuous" vertical="center"/>
      <protection hidden="1"/>
    </xf>
    <xf numFmtId="0" fontId="9" fillId="8" borderId="62" xfId="0" applyFont="1" applyFill="1" applyBorder="1" applyAlignment="1" applyProtection="1">
      <alignment horizontal="left" vertical="center"/>
      <protection hidden="1"/>
    </xf>
    <xf numFmtId="0" fontId="10" fillId="8" borderId="62" xfId="0" applyFont="1" applyFill="1" applyBorder="1" applyAlignment="1" applyProtection="1">
      <alignment horizontal="left" vertical="center"/>
      <protection hidden="1"/>
    </xf>
    <xf numFmtId="0" fontId="9" fillId="8" borderId="62" xfId="0" applyFont="1" applyFill="1" applyBorder="1" applyAlignment="1" applyProtection="1">
      <alignment horizontal="right" vertical="center"/>
      <protection hidden="1"/>
    </xf>
    <xf numFmtId="0" fontId="10" fillId="8" borderId="68" xfId="0" applyFont="1" applyFill="1" applyBorder="1" applyAlignment="1" applyProtection="1">
      <alignment horizontal="centerContinuous" vertical="center"/>
      <protection hidden="1"/>
    </xf>
    <xf numFmtId="0" fontId="9" fillId="8" borderId="18" xfId="0" applyFont="1" applyFill="1" applyBorder="1" applyAlignment="1" applyProtection="1">
      <alignment vertical="center"/>
      <protection/>
    </xf>
    <xf numFmtId="0" fontId="9" fillId="8" borderId="17" xfId="0" applyFont="1" applyFill="1" applyBorder="1" applyAlignment="1" applyProtection="1">
      <alignment horizontal="center" vertical="center"/>
      <protection/>
    </xf>
    <xf numFmtId="0" fontId="9" fillId="8" borderId="17" xfId="0" applyFont="1" applyFill="1" applyBorder="1" applyAlignment="1" applyProtection="1">
      <alignment horizontal="right" vertical="center"/>
      <protection/>
    </xf>
    <xf numFmtId="1" fontId="19" fillId="0" borderId="0" xfId="0" applyNumberFormat="1" applyFont="1" applyBorder="1" applyAlignment="1" applyProtection="1">
      <alignment horizontal="center"/>
      <protection locked="0"/>
    </xf>
    <xf numFmtId="3" fontId="19" fillId="0" borderId="69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Alignment="1">
      <alignment/>
    </xf>
    <xf numFmtId="2" fontId="6" fillId="0" borderId="0" xfId="0" applyNumberFormat="1" applyFont="1" applyFill="1" applyAlignment="1">
      <alignment horizontal="center"/>
    </xf>
    <xf numFmtId="4" fontId="19" fillId="0" borderId="0" xfId="24" applyNumberFormat="1" applyFont="1" applyFill="1" applyBorder="1" applyAlignment="1" applyProtection="1" quotePrefix="1">
      <alignment horizont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7" borderId="0" xfId="0" applyFont="1" applyFill="1" applyAlignment="1">
      <alignment horizontal="center"/>
    </xf>
    <xf numFmtId="0" fontId="17" fillId="0" borderId="0" xfId="0" applyFont="1" applyBorder="1" applyAlignment="1" applyProtection="1">
      <alignment horizontal="left"/>
      <protection/>
    </xf>
    <xf numFmtId="2" fontId="6" fillId="0" borderId="0" xfId="0" applyNumberFormat="1" applyFont="1" applyAlignment="1" applyProtection="1">
      <alignment/>
      <protection hidden="1"/>
    </xf>
    <xf numFmtId="192" fontId="6" fillId="0" borderId="0" xfId="0" applyNumberFormat="1" applyFont="1" applyAlignment="1" applyProtection="1">
      <alignment/>
      <protection hidden="1"/>
    </xf>
    <xf numFmtId="208" fontId="8" fillId="0" borderId="0" xfId="0" applyNumberFormat="1" applyFont="1" applyAlignment="1" applyProtection="1">
      <alignment/>
      <protection hidden="1"/>
    </xf>
    <xf numFmtId="194" fontId="13" fillId="0" borderId="0" xfId="24" applyNumberFormat="1" applyFont="1" applyFill="1" applyAlignment="1" applyProtection="1" quotePrefix="1">
      <alignment horizontal="left"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7" fillId="0" borderId="30" xfId="0" applyFont="1" applyFill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7" fillId="0" borderId="25" xfId="0" applyFont="1" applyFill="1" applyBorder="1" applyAlignment="1" applyProtection="1">
      <alignment horizontal="right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0" borderId="57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2" fontId="13" fillId="0" borderId="23" xfId="0" applyNumberFormat="1" applyFont="1" applyFill="1" applyBorder="1" applyAlignment="1" applyProtection="1">
      <alignment horizontal="center" vertical="center"/>
      <protection locked="0"/>
    </xf>
    <xf numFmtId="2" fontId="13" fillId="0" borderId="70" xfId="0" applyNumberFormat="1" applyFont="1" applyFill="1" applyBorder="1" applyAlignment="1" applyProtection="1">
      <alignment horizontal="center" vertical="center"/>
      <protection hidden="1"/>
    </xf>
    <xf numFmtId="196" fontId="13" fillId="0" borderId="24" xfId="0" applyNumberFormat="1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hidden="1"/>
    </xf>
    <xf numFmtId="0" fontId="17" fillId="0" borderId="27" xfId="0" applyFont="1" applyBorder="1" applyAlignment="1" applyProtection="1">
      <alignment vertical="center"/>
      <protection hidden="1"/>
    </xf>
    <xf numFmtId="196" fontId="13" fillId="0" borderId="71" xfId="0" applyNumberFormat="1" applyFont="1" applyFill="1" applyBorder="1" applyAlignment="1" applyProtection="1">
      <alignment horizontal="center" vertical="center"/>
      <protection hidden="1"/>
    </xf>
    <xf numFmtId="196" fontId="13" fillId="0" borderId="42" xfId="0" applyNumberFormat="1" applyFont="1" applyBorder="1" applyAlignment="1" applyProtection="1">
      <alignment horizontal="center" vertical="center"/>
      <protection hidden="1"/>
    </xf>
    <xf numFmtId="2" fontId="13" fillId="5" borderId="0" xfId="0" applyNumberFormat="1" applyFont="1" applyFill="1" applyAlignment="1" applyProtection="1">
      <alignment/>
      <protection hidden="1"/>
    </xf>
    <xf numFmtId="0" fontId="8" fillId="4" borderId="0" xfId="0" applyFont="1" applyFill="1" applyBorder="1" applyAlignment="1" applyProtection="1">
      <alignment horizontal="left" vertical="center"/>
      <protection/>
    </xf>
    <xf numFmtId="0" fontId="6" fillId="4" borderId="0" xfId="0" applyFont="1" applyFill="1" applyBorder="1" applyAlignment="1" applyProtection="1">
      <alignment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0" borderId="7" xfId="0" applyFont="1" applyBorder="1" applyAlignment="1" applyProtection="1">
      <alignment horizontal="right"/>
      <protection/>
    </xf>
    <xf numFmtId="0" fontId="17" fillId="0" borderId="54" xfId="0" applyFont="1" applyFill="1" applyBorder="1" applyAlignment="1" applyProtection="1">
      <alignment/>
      <protection hidden="1"/>
    </xf>
    <xf numFmtId="0" fontId="19" fillId="0" borderId="7" xfId="0" applyFont="1" applyFill="1" applyBorder="1" applyAlignment="1" applyProtection="1">
      <alignment horizontal="left"/>
      <protection hidden="1"/>
    </xf>
    <xf numFmtId="0" fontId="17" fillId="0" borderId="7" xfId="0" applyFont="1" applyFill="1" applyBorder="1" applyAlignment="1" applyProtection="1">
      <alignment horizontal="right"/>
      <protection hidden="1"/>
    </xf>
    <xf numFmtId="4" fontId="18" fillId="0" borderId="7" xfId="0" applyNumberFormat="1" applyFont="1" applyFill="1" applyBorder="1" applyAlignment="1" applyProtection="1" quotePrefix="1">
      <alignment horizontal="center"/>
      <protection hidden="1"/>
    </xf>
    <xf numFmtId="0" fontId="17" fillId="0" borderId="72" xfId="0" applyFont="1" applyFill="1" applyBorder="1" applyAlignment="1" applyProtection="1">
      <alignment horizontal="left" vertical="center"/>
      <protection hidden="1"/>
    </xf>
    <xf numFmtId="0" fontId="13" fillId="0" borderId="8" xfId="0" applyFont="1" applyFill="1" applyBorder="1" applyAlignment="1" applyProtection="1">
      <alignment horizontal="left" vertical="center"/>
      <protection hidden="1"/>
    </xf>
    <xf numFmtId="0" fontId="13" fillId="0" borderId="58" xfId="0" applyFont="1" applyBorder="1" applyAlignment="1" applyProtection="1">
      <alignment vertical="center"/>
      <protection hidden="1"/>
    </xf>
    <xf numFmtId="4" fontId="18" fillId="0" borderId="0" xfId="0" applyNumberFormat="1" applyFont="1" applyFill="1" applyBorder="1" applyAlignment="1" applyProtection="1" quotePrefix="1">
      <alignment horizontal="center"/>
      <protection hidden="1"/>
    </xf>
    <xf numFmtId="0" fontId="13" fillId="0" borderId="13" xfId="0" applyFont="1" applyBorder="1" applyAlignment="1" applyProtection="1">
      <alignment horizontal="right" vertical="center"/>
      <protection hidden="1"/>
    </xf>
    <xf numFmtId="0" fontId="13" fillId="0" borderId="16" xfId="0" applyFont="1" applyFill="1" applyBorder="1" applyAlignment="1" applyProtection="1">
      <alignment vertical="center"/>
      <protection hidden="1"/>
    </xf>
    <xf numFmtId="0" fontId="17" fillId="0" borderId="14" xfId="0" applyFont="1" applyFill="1" applyBorder="1" applyAlignment="1" applyProtection="1">
      <alignment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4" fontId="19" fillId="0" borderId="14" xfId="24" applyNumberFormat="1" applyFont="1" applyFill="1" applyBorder="1" applyAlignment="1" applyProtection="1">
      <alignment horizontal="right"/>
      <protection hidden="1"/>
    </xf>
    <xf numFmtId="0" fontId="13" fillId="0" borderId="14" xfId="0" applyFont="1" applyBorder="1" applyAlignment="1" applyProtection="1">
      <alignment horizontal="right" vertical="center"/>
      <protection hidden="1"/>
    </xf>
    <xf numFmtId="4" fontId="18" fillId="0" borderId="14" xfId="0" applyNumberFormat="1" applyFont="1" applyBorder="1" applyAlignment="1" applyProtection="1">
      <alignment vertical="center"/>
      <protection locked="0"/>
    </xf>
    <xf numFmtId="0" fontId="17" fillId="0" borderId="73" xfId="0" applyFont="1" applyBorder="1" applyAlignment="1" applyProtection="1">
      <alignment horizontal="right" vertical="center"/>
      <protection hidden="1"/>
    </xf>
    <xf numFmtId="0" fontId="13" fillId="0" borderId="15" xfId="0" applyFont="1" applyBorder="1" applyAlignment="1" applyProtection="1">
      <alignment horizontal="right" vertical="center"/>
      <protection hidden="1"/>
    </xf>
    <xf numFmtId="0" fontId="19" fillId="0" borderId="54" xfId="0" applyFont="1" applyFill="1" applyBorder="1" applyAlignment="1" applyProtection="1">
      <alignment horizontal="left"/>
      <protection hidden="1"/>
    </xf>
    <xf numFmtId="4" fontId="18" fillId="0" borderId="7" xfId="0" applyNumberFormat="1" applyFont="1" applyFill="1" applyBorder="1" applyAlignment="1" applyProtection="1">
      <alignment horizontal="center"/>
      <protection hidden="1"/>
    </xf>
    <xf numFmtId="0" fontId="13" fillId="0" borderId="58" xfId="0" applyFont="1" applyFill="1" applyBorder="1" applyAlignment="1" applyProtection="1">
      <alignment vertical="center"/>
      <protection hidden="1"/>
    </xf>
    <xf numFmtId="0" fontId="17" fillId="0" borderId="16" xfId="0" applyFont="1" applyFill="1" applyBorder="1" applyAlignment="1" applyProtection="1">
      <alignment/>
      <protection hidden="1"/>
    </xf>
    <xf numFmtId="0" fontId="17" fillId="0" borderId="14" xfId="0" applyFont="1" applyFill="1" applyBorder="1" applyAlignment="1" applyProtection="1">
      <alignment horizontal="right"/>
      <protection hidden="1"/>
    </xf>
    <xf numFmtId="0" fontId="17" fillId="0" borderId="73" xfId="0" applyFont="1" applyBorder="1" applyAlignment="1" applyProtection="1">
      <alignment horizontal="right" vertical="center"/>
      <protection/>
    </xf>
    <xf numFmtId="0" fontId="17" fillId="0" borderId="8" xfId="0" applyFont="1" applyFill="1" applyBorder="1" applyAlignment="1" applyProtection="1">
      <alignment horizontal="left" vertical="center"/>
      <protection hidden="1"/>
    </xf>
    <xf numFmtId="0" fontId="17" fillId="0" borderId="13" xfId="0" applyFont="1" applyBorder="1" applyAlignment="1" applyProtection="1">
      <alignment horizontal="right" vertical="center"/>
      <protection/>
    </xf>
    <xf numFmtId="0" fontId="17" fillId="0" borderId="15" xfId="0" applyFont="1" applyBorder="1" applyAlignment="1" applyProtection="1">
      <alignment horizontal="right" vertical="center"/>
      <protection/>
    </xf>
    <xf numFmtId="0" fontId="17" fillId="0" borderId="7" xfId="0" applyFont="1" applyFill="1" applyBorder="1" applyAlignment="1" applyProtection="1">
      <alignment/>
      <protection hidden="1"/>
    </xf>
    <xf numFmtId="0" fontId="13" fillId="0" borderId="58" xfId="0" applyFont="1" applyBorder="1" applyAlignment="1" applyProtection="1">
      <alignment vertical="center"/>
      <protection/>
    </xf>
    <xf numFmtId="0" fontId="13" fillId="0" borderId="16" xfId="0" applyFont="1" applyBorder="1" applyAlignment="1" applyProtection="1">
      <alignment vertical="center"/>
      <protection/>
    </xf>
    <xf numFmtId="0" fontId="17" fillId="0" borderId="56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Continuous" vertical="center"/>
      <protection hidden="1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13" fillId="0" borderId="0" xfId="0" applyFont="1" applyBorder="1" applyAlignment="1" applyProtection="1">
      <alignment horizontal="right"/>
      <protection locked="0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0" borderId="20" xfId="0" applyFont="1" applyFill="1" applyBorder="1" applyAlignment="1" applyProtection="1">
      <alignment vertical="center"/>
      <protection/>
    </xf>
    <xf numFmtId="0" fontId="13" fillId="0" borderId="20" xfId="0" applyFont="1" applyFill="1" applyBorder="1" applyAlignment="1" applyProtection="1">
      <alignment horizontal="left" vertical="center"/>
      <protection hidden="1"/>
    </xf>
    <xf numFmtId="0" fontId="13" fillId="0" borderId="20" xfId="0" applyFont="1" applyBorder="1" applyAlignment="1" applyProtection="1">
      <alignment horizontal="right" vertical="center"/>
      <protection/>
    </xf>
    <xf numFmtId="0" fontId="17" fillId="0" borderId="1" xfId="0" applyFont="1" applyBorder="1" applyAlignment="1" applyProtection="1">
      <alignment vertical="center"/>
      <protection hidden="1"/>
    </xf>
    <xf numFmtId="1" fontId="17" fillId="0" borderId="0" xfId="23" applyNumberFormat="1" applyFont="1" applyFill="1" applyBorder="1" applyAlignment="1" applyProtection="1" quotePrefix="1">
      <alignment horizontal="center" vertical="center"/>
      <protection hidden="1"/>
    </xf>
    <xf numFmtId="2" fontId="17" fillId="0" borderId="6" xfId="0" applyNumberFormat="1" applyFont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left" vertical="center"/>
      <protection/>
    </xf>
    <xf numFmtId="3" fontId="17" fillId="0" borderId="6" xfId="0" applyNumberFormat="1" applyFont="1" applyBorder="1" applyAlignment="1" applyProtection="1">
      <alignment horizontal="right" vertical="center"/>
      <protection/>
    </xf>
    <xf numFmtId="4" fontId="19" fillId="3" borderId="0" xfId="24" applyNumberFormat="1" applyFont="1" applyFill="1" applyBorder="1" applyAlignment="1" applyProtection="1" quotePrefix="1">
      <alignment horizontal="center"/>
      <protection hidden="1"/>
    </xf>
    <xf numFmtId="0" fontId="13" fillId="3" borderId="0" xfId="0" applyFont="1" applyFill="1" applyAlignment="1" applyProtection="1">
      <alignment horizontal="center" vertical="center"/>
      <protection hidden="1"/>
    </xf>
    <xf numFmtId="2" fontId="13" fillId="3" borderId="0" xfId="0" applyNumberFormat="1" applyFont="1" applyFill="1" applyBorder="1" applyAlignment="1" applyProtection="1">
      <alignment horizontal="center" vertical="center"/>
      <protection/>
    </xf>
    <xf numFmtId="1" fontId="17" fillId="0" borderId="0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/>
    </xf>
    <xf numFmtId="193" fontId="13" fillId="3" borderId="0" xfId="0" applyNumberFormat="1" applyFont="1" applyFill="1" applyAlignment="1" applyProtection="1" quotePrefix="1">
      <alignment horizontal="center" vertical="center"/>
      <protection/>
    </xf>
    <xf numFmtId="4" fontId="13" fillId="0" borderId="0" xfId="0" applyNumberFormat="1" applyFont="1" applyAlignment="1" applyProtection="1">
      <alignment vertical="center"/>
      <protection hidden="1"/>
    </xf>
    <xf numFmtId="193" fontId="13" fillId="3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vertical="top"/>
      <protection hidden="1"/>
    </xf>
    <xf numFmtId="0" fontId="38" fillId="0" borderId="0" xfId="0" applyFont="1" applyBorder="1" applyAlignment="1" applyProtection="1">
      <alignment/>
      <protection/>
    </xf>
    <xf numFmtId="0" fontId="10" fillId="0" borderId="57" xfId="0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8" fillId="8" borderId="17" xfId="0" applyFont="1" applyFill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 hidden="1"/>
    </xf>
    <xf numFmtId="0" fontId="17" fillId="0" borderId="1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horizontal="right" vertical="top"/>
      <protection/>
    </xf>
    <xf numFmtId="0" fontId="13" fillId="0" borderId="7" xfId="0" applyFont="1" applyFill="1" applyBorder="1" applyAlignment="1" applyProtection="1">
      <alignment horizontal="right"/>
      <protection hidden="1"/>
    </xf>
    <xf numFmtId="0" fontId="13" fillId="0" borderId="1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Continuous" vertical="center"/>
    </xf>
    <xf numFmtId="0" fontId="13" fillId="0" borderId="12" xfId="0" applyFont="1" applyBorder="1" applyAlignment="1">
      <alignment horizontal="centerContinuous" vertical="center"/>
    </xf>
    <xf numFmtId="0" fontId="13" fillId="0" borderId="27" xfId="0" applyFont="1" applyBorder="1" applyAlignment="1" applyProtection="1">
      <alignment horizontal="centerContinuous" vertical="center"/>
      <protection/>
    </xf>
    <xf numFmtId="0" fontId="13" fillId="0" borderId="0" xfId="0" applyFont="1" applyFill="1" applyBorder="1" applyAlignment="1" applyProtection="1">
      <alignment/>
      <protection hidden="1"/>
    </xf>
    <xf numFmtId="0" fontId="13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Continuous" vertical="center"/>
    </xf>
    <xf numFmtId="0" fontId="13" fillId="0" borderId="27" xfId="0" applyFont="1" applyBorder="1" applyAlignment="1">
      <alignment horizontal="centerContinuous" vertical="center"/>
    </xf>
    <xf numFmtId="0" fontId="13" fillId="0" borderId="23" xfId="0" applyFont="1" applyBorder="1" applyAlignment="1" applyProtection="1">
      <alignment horizontal="center" vertical="center"/>
      <protection/>
    </xf>
    <xf numFmtId="0" fontId="13" fillId="0" borderId="24" xfId="0" applyFont="1" applyBorder="1" applyAlignment="1" applyProtection="1">
      <alignment horizontal="centerContinuous" vertical="center"/>
      <protection/>
    </xf>
    <xf numFmtId="0" fontId="13" fillId="0" borderId="70" xfId="0" applyFont="1" applyBorder="1" applyAlignment="1" applyProtection="1">
      <alignment horizontal="centerContinuous" vertical="center"/>
      <protection/>
    </xf>
    <xf numFmtId="0" fontId="13" fillId="0" borderId="57" xfId="0" applyFont="1" applyBorder="1" applyAlignment="1" applyProtection="1">
      <alignment horizontal="centerContinuous" vertical="center"/>
      <protection/>
    </xf>
    <xf numFmtId="0" fontId="13" fillId="0" borderId="74" xfId="0" applyFont="1" applyBorder="1" applyAlignment="1">
      <alignment horizontal="centerContinuous" vertical="center"/>
    </xf>
    <xf numFmtId="0" fontId="13" fillId="0" borderId="75" xfId="0" applyFont="1" applyBorder="1" applyAlignment="1">
      <alignment horizontal="centerContinuous"/>
    </xf>
    <xf numFmtId="0" fontId="13" fillId="0" borderId="76" xfId="0" applyFont="1" applyBorder="1" applyAlignment="1">
      <alignment horizontal="centerContinuous" vertical="center"/>
    </xf>
    <xf numFmtId="186" fontId="13" fillId="0" borderId="77" xfId="24" applyNumberFormat="1" applyFont="1" applyBorder="1" applyAlignment="1" applyProtection="1">
      <alignment horizontal="center" vertical="center"/>
      <protection hidden="1" locked="0"/>
    </xf>
    <xf numFmtId="186" fontId="13" fillId="0" borderId="35" xfId="24" applyNumberFormat="1" applyFont="1" applyBorder="1" applyAlignment="1" applyProtection="1">
      <alignment horizontal="center" vertical="center"/>
      <protection hidden="1" locked="0"/>
    </xf>
    <xf numFmtId="186" fontId="13" fillId="0" borderId="78" xfId="24" applyNumberFormat="1" applyFont="1" applyBorder="1" applyAlignment="1" applyProtection="1">
      <alignment horizontal="center" vertical="center"/>
      <protection hidden="1"/>
    </xf>
    <xf numFmtId="186" fontId="13" fillId="0" borderId="79" xfId="24" applyNumberFormat="1" applyFont="1" applyBorder="1" applyAlignment="1" applyProtection="1">
      <alignment horizontal="center" vertical="center"/>
      <protection hidden="1"/>
    </xf>
    <xf numFmtId="0" fontId="13" fillId="0" borderId="77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13" fillId="0" borderId="80" xfId="0" applyFont="1" applyBorder="1" applyAlignment="1" applyProtection="1">
      <alignment horizontal="center" vertical="center"/>
      <protection locked="0"/>
    </xf>
    <xf numFmtId="0" fontId="13" fillId="0" borderId="81" xfId="0" applyFont="1" applyBorder="1" applyAlignment="1" applyProtection="1">
      <alignment horizontal="center" vertical="center"/>
      <protection locked="0"/>
    </xf>
    <xf numFmtId="0" fontId="13" fillId="0" borderId="82" xfId="0" applyFont="1" applyBorder="1" applyAlignment="1" applyProtection="1">
      <alignment vertical="center"/>
      <protection hidden="1"/>
    </xf>
    <xf numFmtId="3" fontId="13" fillId="0" borderId="77" xfId="24" applyNumberFormat="1" applyFont="1" applyBorder="1" applyAlignment="1" applyProtection="1">
      <alignment horizontal="center" vertical="center"/>
      <protection locked="0"/>
    </xf>
    <xf numFmtId="3" fontId="13" fillId="0" borderId="35" xfId="24" applyNumberFormat="1" applyFont="1" applyBorder="1" applyAlignment="1" applyProtection="1">
      <alignment horizontal="center" vertical="center"/>
      <protection locked="0"/>
    </xf>
    <xf numFmtId="3" fontId="13" fillId="0" borderId="34" xfId="24" applyNumberFormat="1" applyFont="1" applyBorder="1" applyAlignment="1" applyProtection="1">
      <alignment horizontal="center" vertical="center"/>
      <protection locked="0"/>
    </xf>
    <xf numFmtId="3" fontId="13" fillId="0" borderId="81" xfId="24" applyNumberFormat="1" applyFont="1" applyBorder="1" applyAlignment="1" applyProtection="1">
      <alignment horizontal="center" vertical="center"/>
      <protection locked="0"/>
    </xf>
    <xf numFmtId="3" fontId="13" fillId="0" borderId="82" xfId="24" applyNumberFormat="1" applyFont="1" applyBorder="1" applyAlignment="1" applyProtection="1">
      <alignment horizontal="center" vertical="center"/>
      <protection hidden="1"/>
    </xf>
    <xf numFmtId="186" fontId="13" fillId="0" borderId="34" xfId="24" applyNumberFormat="1" applyFont="1" applyBorder="1" applyAlignment="1" applyProtection="1">
      <alignment horizontal="center" vertical="center"/>
      <protection hidden="1" locked="0"/>
    </xf>
    <xf numFmtId="186" fontId="13" fillId="0" borderId="81" xfId="24" applyNumberFormat="1" applyFont="1" applyBorder="1" applyAlignment="1" applyProtection="1">
      <alignment horizontal="center" vertical="center"/>
      <protection hidden="1" locked="0"/>
    </xf>
    <xf numFmtId="186" fontId="13" fillId="0" borderId="82" xfId="24" applyNumberFormat="1" applyFont="1" applyBorder="1" applyAlignment="1" applyProtection="1">
      <alignment horizontal="center" vertical="center"/>
      <protection hidden="1"/>
    </xf>
    <xf numFmtId="186" fontId="39" fillId="0" borderId="82" xfId="24" applyNumberFormat="1" applyFont="1" applyBorder="1" applyAlignment="1" applyProtection="1">
      <alignment horizontal="center" vertical="center"/>
      <protection hidden="1"/>
    </xf>
    <xf numFmtId="186" fontId="13" fillId="0" borderId="83" xfId="24" applyNumberFormat="1" applyFont="1" applyBorder="1" applyAlignment="1" applyProtection="1">
      <alignment horizontal="center" vertical="center"/>
      <protection hidden="1"/>
    </xf>
    <xf numFmtId="186" fontId="13" fillId="0" borderId="84" xfId="24" applyNumberFormat="1" applyFont="1" applyBorder="1" applyAlignment="1" applyProtection="1">
      <alignment horizontal="center" vertical="center"/>
      <protection hidden="1"/>
    </xf>
    <xf numFmtId="186" fontId="13" fillId="0" borderId="8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right" vertical="top"/>
      <protection/>
    </xf>
    <xf numFmtId="0" fontId="21" fillId="0" borderId="11" xfId="0" applyFont="1" applyBorder="1" applyAlignment="1" applyProtection="1">
      <alignment horizontal="right" vertical="center"/>
      <protection/>
    </xf>
    <xf numFmtId="0" fontId="40" fillId="0" borderId="49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right" vertical="center"/>
      <protection/>
    </xf>
    <xf numFmtId="0" fontId="21" fillId="0" borderId="11" xfId="0" applyFont="1" applyBorder="1" applyAlignment="1" applyProtection="1">
      <alignment vertical="center"/>
      <protection/>
    </xf>
    <xf numFmtId="0" fontId="40" fillId="0" borderId="11" xfId="0" applyFont="1" applyBorder="1" applyAlignment="1" applyProtection="1">
      <alignment horizontal="right" vertical="center"/>
      <protection/>
    </xf>
    <xf numFmtId="183" fontId="18" fillId="0" borderId="0" xfId="0" applyNumberFormat="1" applyFont="1" applyFill="1" applyBorder="1" applyAlignment="1" applyProtection="1">
      <alignment horizontal="left" vertical="center"/>
      <protection locked="0"/>
    </xf>
    <xf numFmtId="183" fontId="18" fillId="0" borderId="0" xfId="0" applyNumberFormat="1" applyFont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vertical="top" wrapText="1"/>
      <protection locked="0"/>
    </xf>
    <xf numFmtId="14" fontId="18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/>
      <protection locked="0"/>
    </xf>
    <xf numFmtId="3" fontId="18" fillId="0" borderId="0" xfId="0" applyNumberFormat="1" applyFont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right"/>
      <protection locked="0"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 textRotation="90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196" fontId="13" fillId="0" borderId="86" xfId="0" applyNumberFormat="1" applyFont="1" applyBorder="1" applyAlignment="1" applyProtection="1">
      <alignment horizontal="center"/>
      <protection locked="0"/>
    </xf>
    <xf numFmtId="196" fontId="13" fillId="0" borderId="71" xfId="0" applyNumberFormat="1" applyFont="1" applyBorder="1" applyAlignment="1" applyProtection="1">
      <alignment horizontal="center" vertical="center"/>
      <protection locked="0"/>
    </xf>
    <xf numFmtId="196" fontId="13" fillId="0" borderId="42" xfId="0" applyNumberFormat="1" applyFont="1" applyBorder="1" applyAlignment="1" applyProtection="1">
      <alignment horizontal="center" vertical="center"/>
      <protection locked="0"/>
    </xf>
    <xf numFmtId="196" fontId="13" fillId="0" borderId="87" xfId="0" applyNumberFormat="1" applyFont="1" applyBorder="1" applyAlignment="1" applyProtection="1">
      <alignment/>
      <protection locked="0"/>
    </xf>
    <xf numFmtId="4" fontId="13" fillId="0" borderId="32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/>
      <protection locked="0"/>
    </xf>
    <xf numFmtId="0" fontId="17" fillId="0" borderId="83" xfId="0" applyFont="1" applyFill="1" applyBorder="1" applyAlignment="1" applyProtection="1">
      <alignment horizontal="center"/>
      <protection locked="0"/>
    </xf>
    <xf numFmtId="0" fontId="17" fillId="0" borderId="88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/>
    </xf>
    <xf numFmtId="0" fontId="0" fillId="0" borderId="60" xfId="0" applyBorder="1" applyAlignment="1">
      <alignment/>
    </xf>
    <xf numFmtId="0" fontId="10" fillId="0" borderId="0" xfId="0" applyFont="1" applyBorder="1" applyAlignment="1" applyProtection="1">
      <alignment horizontal="right" vertical="center"/>
      <protection/>
    </xf>
    <xf numFmtId="0" fontId="0" fillId="0" borderId="2" xfId="0" applyBorder="1" applyAlignment="1">
      <alignment/>
    </xf>
    <xf numFmtId="0" fontId="17" fillId="0" borderId="57" xfId="0" applyFont="1" applyBorder="1" applyAlignment="1" applyProtection="1">
      <alignment horizontal="left" vertical="center"/>
      <protection locked="0"/>
    </xf>
    <xf numFmtId="0" fontId="0" fillId="0" borderId="57" xfId="0" applyBorder="1" applyAlignment="1" applyProtection="1">
      <alignment/>
      <protection locked="0"/>
    </xf>
    <xf numFmtId="0" fontId="0" fillId="0" borderId="70" xfId="0" applyBorder="1" applyAlignment="1" applyProtection="1">
      <alignment/>
      <protection locked="0"/>
    </xf>
    <xf numFmtId="183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left"/>
      <protection locked="0"/>
    </xf>
    <xf numFmtId="3" fontId="13" fillId="0" borderId="17" xfId="0" applyNumberFormat="1" applyFont="1" applyBorder="1" applyAlignment="1" applyProtection="1">
      <alignment/>
      <protection hidden="1"/>
    </xf>
    <xf numFmtId="3" fontId="0" fillId="0" borderId="17" xfId="0" applyNumberFormat="1" applyFont="1" applyBorder="1" applyAlignment="1" applyProtection="1">
      <alignment/>
      <protection hidden="1"/>
    </xf>
    <xf numFmtId="0" fontId="19" fillId="8" borderId="17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vertical="top" wrapText="1"/>
      <protection locked="0"/>
    </xf>
    <xf numFmtId="183" fontId="19" fillId="0" borderId="0" xfId="0" applyNumberFormat="1" applyFont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center" vertical="center" textRotation="90"/>
      <protection/>
    </xf>
    <xf numFmtId="0" fontId="18" fillId="0" borderId="0" xfId="0" applyFont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left"/>
      <protection locked="0"/>
    </xf>
    <xf numFmtId="49" fontId="18" fillId="0" borderId="0" xfId="0" applyNumberFormat="1" applyFont="1" applyBorder="1" applyAlignment="1" applyProtection="1">
      <alignment horizontal="left"/>
      <protection locked="0"/>
    </xf>
    <xf numFmtId="184" fontId="18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>
      <alignment vertical="top" wrapText="1"/>
    </xf>
    <xf numFmtId="0" fontId="18" fillId="0" borderId="0" xfId="0" applyNumberFormat="1" applyFont="1" applyBorder="1" applyAlignment="1" applyProtection="1">
      <alignment horizontal="left"/>
      <protection locked="0"/>
    </xf>
    <xf numFmtId="3" fontId="13" fillId="0" borderId="42" xfId="0" applyNumberFormat="1" applyFont="1" applyBorder="1" applyAlignment="1" applyProtection="1">
      <alignment horizontal="center" vertical="center"/>
      <protection hidden="1"/>
    </xf>
    <xf numFmtId="3" fontId="0" fillId="0" borderId="2" xfId="0" applyNumberFormat="1" applyFont="1" applyBorder="1" applyAlignment="1" applyProtection="1">
      <alignment/>
      <protection hidden="1"/>
    </xf>
    <xf numFmtId="4" fontId="17" fillId="0" borderId="86" xfId="0" applyNumberFormat="1" applyFont="1" applyBorder="1" applyAlignment="1" applyProtection="1">
      <alignment horizontal="center"/>
      <protection locked="0"/>
    </xf>
    <xf numFmtId="4" fontId="0" fillId="0" borderId="87" xfId="0" applyNumberFormat="1" applyBorder="1" applyAlignment="1">
      <alignment horizontal="center"/>
    </xf>
    <xf numFmtId="4" fontId="17" fillId="0" borderId="86" xfId="0" applyNumberFormat="1" applyFont="1" applyFill="1" applyBorder="1" applyAlignment="1" applyProtection="1">
      <alignment horizontal="center"/>
      <protection locked="0"/>
    </xf>
    <xf numFmtId="3" fontId="13" fillId="0" borderId="86" xfId="0" applyNumberFormat="1" applyFont="1" applyBorder="1" applyAlignment="1" applyProtection="1">
      <alignment horizontal="center"/>
      <protection hidden="1"/>
    </xf>
    <xf numFmtId="3" fontId="0" fillId="0" borderId="21" xfId="0" applyNumberFormat="1" applyFont="1" applyBorder="1" applyAlignment="1" applyProtection="1">
      <alignment/>
      <protection hidden="1"/>
    </xf>
    <xf numFmtId="0" fontId="13" fillId="0" borderId="86" xfId="0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0" fontId="13" fillId="0" borderId="87" xfId="0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87" xfId="0" applyBorder="1" applyAlignment="1">
      <alignment horizontal="center"/>
    </xf>
    <xf numFmtId="0" fontId="17" fillId="0" borderId="6" xfId="0" applyFont="1" applyBorder="1" applyAlignment="1" applyProtection="1">
      <alignment horizontal="left" vertical="center"/>
      <protection locked="0"/>
    </xf>
    <xf numFmtId="0" fontId="0" fillId="0" borderId="6" xfId="0" applyBorder="1" applyAlignment="1">
      <alignment/>
    </xf>
    <xf numFmtId="0" fontId="0" fillId="0" borderId="36" xfId="0" applyBorder="1" applyAlignment="1">
      <alignment/>
    </xf>
    <xf numFmtId="188" fontId="10" fillId="0" borderId="0" xfId="0" applyNumberFormat="1" applyFont="1" applyBorder="1" applyAlignment="1" applyProtection="1">
      <alignment horizontal="left" vertical="center"/>
      <protection locked="0"/>
    </xf>
    <xf numFmtId="3" fontId="13" fillId="0" borderId="0" xfId="0" applyNumberFormat="1" applyFont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horizontal="justify" vertical="top" wrapText="1"/>
      <protection/>
    </xf>
    <xf numFmtId="0" fontId="0" fillId="0" borderId="0" xfId="0" applyAlignment="1">
      <alignment horizontal="justify" vertical="top" wrapText="1"/>
    </xf>
    <xf numFmtId="0" fontId="17" fillId="0" borderId="0" xfId="0" applyFont="1" applyBorder="1" applyAlignment="1" applyProtection="1">
      <alignment vertical="top" wrapText="1"/>
      <protection locked="0"/>
    </xf>
    <xf numFmtId="0" fontId="10" fillId="8" borderId="89" xfId="0" applyFont="1" applyFill="1" applyBorder="1" applyAlignment="1" applyProtection="1">
      <alignment horizontal="center"/>
      <protection locked="0"/>
    </xf>
    <xf numFmtId="3" fontId="13" fillId="0" borderId="24" xfId="0" applyNumberFormat="1" applyFont="1" applyBorder="1" applyAlignment="1" applyProtection="1">
      <alignment horizontal="center" vertical="center"/>
      <protection hidden="1"/>
    </xf>
    <xf numFmtId="3" fontId="0" fillId="0" borderId="27" xfId="0" applyNumberFormat="1" applyFont="1" applyBorder="1" applyAlignment="1" applyProtection="1">
      <alignment/>
      <protection hidden="1"/>
    </xf>
    <xf numFmtId="0" fontId="17" fillId="0" borderId="3" xfId="0" applyFont="1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3" fillId="0" borderId="83" xfId="0" applyFont="1" applyBorder="1" applyAlignment="1" applyProtection="1">
      <alignment horizontal="left" vertical="center"/>
      <protection locked="0"/>
    </xf>
    <xf numFmtId="0" fontId="13" fillId="0" borderId="88" xfId="0" applyFont="1" applyBorder="1" applyAlignment="1" applyProtection="1">
      <alignment horizontal="left" vertical="center"/>
      <protection locked="0"/>
    </xf>
    <xf numFmtId="0" fontId="13" fillId="0" borderId="90" xfId="0" applyFont="1" applyBorder="1" applyAlignment="1" applyProtection="1">
      <alignment horizontal="left" vertical="center"/>
      <protection locked="0"/>
    </xf>
    <xf numFmtId="3" fontId="9" fillId="0" borderId="0" xfId="0" applyNumberFormat="1" applyFont="1" applyAlignment="1">
      <alignment vertical="center"/>
    </xf>
    <xf numFmtId="3" fontId="10" fillId="0" borderId="1" xfId="0" applyNumberFormat="1" applyFont="1" applyBorder="1" applyAlignment="1" applyProtection="1">
      <alignment horizontal="right" vertical="center"/>
      <protection hidden="1"/>
    </xf>
    <xf numFmtId="3" fontId="10" fillId="0" borderId="0" xfId="0" applyNumberFormat="1" applyFont="1" applyBorder="1" applyAlignment="1" applyProtection="1">
      <alignment horizontal="right" vertical="center"/>
      <protection hidden="1"/>
    </xf>
    <xf numFmtId="3" fontId="13" fillId="0" borderId="71" xfId="0" applyNumberFormat="1" applyFont="1" applyBorder="1" applyAlignment="1" applyProtection="1">
      <alignment horizontal="center" vertical="center"/>
      <protection hidden="1"/>
    </xf>
    <xf numFmtId="3" fontId="0" fillId="0" borderId="12" xfId="0" applyNumberFormat="1" applyFont="1" applyBorder="1" applyAlignment="1" applyProtection="1">
      <alignment/>
      <protection hidden="1"/>
    </xf>
    <xf numFmtId="3" fontId="13" fillId="0" borderId="6" xfId="0" applyNumberFormat="1" applyFont="1" applyBorder="1" applyAlignment="1" applyProtection="1">
      <alignment vertical="center"/>
      <protection hidden="1"/>
    </xf>
    <xf numFmtId="0" fontId="10" fillId="0" borderId="57" xfId="0" applyFont="1" applyBorder="1" applyAlignment="1" applyProtection="1">
      <alignment horizontal="center"/>
      <protection/>
    </xf>
    <xf numFmtId="3" fontId="13" fillId="0" borderId="57" xfId="0" applyNumberFormat="1" applyFont="1" applyBorder="1" applyAlignment="1" applyProtection="1">
      <alignment vertical="center"/>
      <protection hidden="1"/>
    </xf>
    <xf numFmtId="3" fontId="13" fillId="0" borderId="91" xfId="0" applyNumberFormat="1" applyFont="1" applyBorder="1" applyAlignment="1" applyProtection="1">
      <alignment vertical="center"/>
      <protection hidden="1"/>
    </xf>
    <xf numFmtId="3" fontId="13" fillId="0" borderId="30" xfId="0" applyNumberFormat="1" applyFont="1" applyBorder="1" applyAlignment="1" applyProtection="1">
      <alignment horizontal="center" vertical="center"/>
      <protection hidden="1"/>
    </xf>
    <xf numFmtId="3" fontId="0" fillId="0" borderId="4" xfId="0" applyNumberFormat="1" applyFont="1" applyBorder="1" applyAlignment="1" applyProtection="1">
      <alignment/>
      <protection hidden="1"/>
    </xf>
    <xf numFmtId="184" fontId="19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4" fontId="19" fillId="0" borderId="0" xfId="0" applyNumberFormat="1" applyFont="1" applyFill="1" applyAlignment="1" applyProtection="1">
      <alignment horizontal="left"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left"/>
      <protection locked="0"/>
    </xf>
    <xf numFmtId="0" fontId="17" fillId="0" borderId="0" xfId="0" applyFont="1" applyFill="1" applyAlignment="1" applyProtection="1">
      <alignment/>
      <protection locked="0"/>
    </xf>
    <xf numFmtId="4" fontId="19" fillId="8" borderId="17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left"/>
      <protection locked="0"/>
    </xf>
    <xf numFmtId="4" fontId="19" fillId="0" borderId="7" xfId="24" applyNumberFormat="1" applyFont="1" applyFill="1" applyBorder="1" applyAlignment="1" applyProtection="1" quotePrefix="1">
      <alignment horizontal="left"/>
      <protection hidden="1"/>
    </xf>
    <xf numFmtId="0" fontId="19" fillId="0" borderId="0" xfId="0" applyFont="1" applyAlignment="1" applyProtection="1">
      <alignment horizontal="left"/>
      <protection locked="0"/>
    </xf>
    <xf numFmtId="14" fontId="17" fillId="0" borderId="0" xfId="0" applyNumberFormat="1" applyFont="1" applyFill="1" applyBorder="1" applyAlignment="1" applyProtection="1">
      <alignment horizontal="left"/>
      <protection locked="0"/>
    </xf>
    <xf numFmtId="14" fontId="17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Alignment="1" applyProtection="1">
      <alignment horizontal="left" vertical="top" wrapText="1"/>
      <protection locked="0"/>
    </xf>
    <xf numFmtId="49" fontId="17" fillId="0" borderId="0" xfId="0" applyNumberFormat="1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183" fontId="17" fillId="0" borderId="0" xfId="0" applyNumberFormat="1" applyFont="1" applyBorder="1" applyAlignment="1" applyProtection="1">
      <alignment horizontal="left" vertical="center"/>
      <protection locked="0"/>
    </xf>
    <xf numFmtId="2" fontId="18" fillId="0" borderId="0" xfId="0" applyNumberFormat="1" applyFont="1" applyFill="1" applyBorder="1" applyAlignment="1" applyProtection="1">
      <alignment horizontal="center"/>
      <protection locked="0"/>
    </xf>
    <xf numFmtId="4" fontId="19" fillId="8" borderId="17" xfId="0" applyNumberFormat="1" applyFont="1" applyFill="1" applyBorder="1" applyAlignment="1" applyProtection="1">
      <alignment horizontal="center"/>
      <protection locked="0"/>
    </xf>
    <xf numFmtId="10" fontId="18" fillId="8" borderId="17" xfId="24" applyNumberFormat="1" applyFont="1" applyFill="1" applyBorder="1" applyAlignment="1" applyProtection="1" quotePrefix="1">
      <alignment horizontal="center"/>
      <protection hidden="1"/>
    </xf>
    <xf numFmtId="0" fontId="19" fillId="8" borderId="17" xfId="0" applyFont="1" applyFill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>
      <alignment vertical="center"/>
    </xf>
    <xf numFmtId="0" fontId="13" fillId="0" borderId="6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4" fontId="17" fillId="0" borderId="92" xfId="0" applyNumberFormat="1" applyFont="1" applyBorder="1" applyAlignment="1" applyProtection="1">
      <alignment horizontal="center"/>
      <protection locked="0"/>
    </xf>
    <xf numFmtId="4" fontId="17" fillId="0" borderId="47" xfId="0" applyNumberFormat="1" applyFont="1" applyBorder="1" applyAlignment="1" applyProtection="1">
      <alignment horizontal="center"/>
      <protection locked="0"/>
    </xf>
    <xf numFmtId="0" fontId="8" fillId="8" borderId="17" xfId="0" applyFont="1" applyFill="1" applyBorder="1" applyAlignment="1" applyProtection="1">
      <alignment horizontal="left" vertical="center"/>
      <protection locked="0"/>
    </xf>
    <xf numFmtId="0" fontId="8" fillId="8" borderId="21" xfId="0" applyFont="1" applyFill="1" applyBorder="1" applyAlignment="1" applyProtection="1">
      <alignment horizontal="left" vertical="center"/>
      <protection locked="0"/>
    </xf>
    <xf numFmtId="3" fontId="6" fillId="0" borderId="0" xfId="0" applyNumberFormat="1" applyFont="1" applyBorder="1" applyAlignment="1" applyProtection="1">
      <alignment horizontal="center"/>
      <protection hidden="1"/>
    </xf>
    <xf numFmtId="3" fontId="6" fillId="0" borderId="6" xfId="0" applyNumberFormat="1" applyFont="1" applyBorder="1" applyAlignment="1" applyProtection="1">
      <alignment horizontal="center"/>
      <protection hidden="1"/>
    </xf>
    <xf numFmtId="4" fontId="6" fillId="0" borderId="3" xfId="0" applyNumberFormat="1" applyFont="1" applyBorder="1" applyAlignment="1" applyProtection="1" quotePrefix="1">
      <alignment horizontal="center"/>
      <protection hidden="1"/>
    </xf>
    <xf numFmtId="4" fontId="6" fillId="0" borderId="3" xfId="0" applyNumberFormat="1" applyFont="1" applyBorder="1" applyAlignment="1" applyProtection="1">
      <alignment horizontal="center"/>
      <protection hidden="1"/>
    </xf>
    <xf numFmtId="3" fontId="13" fillId="0" borderId="0" xfId="0" applyNumberFormat="1" applyFont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vertical="top" wrapText="1"/>
      <protection locked="0"/>
    </xf>
    <xf numFmtId="0" fontId="13" fillId="0" borderId="2" xfId="0" applyFont="1" applyBorder="1" applyAlignment="1" applyProtection="1">
      <alignment vertical="top" wrapText="1"/>
      <protection locked="0"/>
    </xf>
    <xf numFmtId="0" fontId="13" fillId="0" borderId="3" xfId="0" applyFont="1" applyBorder="1" applyAlignment="1" applyProtection="1">
      <alignment vertical="top" wrapText="1"/>
      <protection locked="0"/>
    </xf>
    <xf numFmtId="0" fontId="13" fillId="0" borderId="4" xfId="0" applyFont="1" applyBorder="1" applyAlignment="1" applyProtection="1">
      <alignment vertical="top" wrapText="1"/>
      <protection locked="0"/>
    </xf>
    <xf numFmtId="3" fontId="17" fillId="0" borderId="1" xfId="0" applyNumberFormat="1" applyFont="1" applyBorder="1" applyAlignment="1" applyProtection="1">
      <alignment horizontal="center"/>
      <protection locked="0"/>
    </xf>
    <xf numFmtId="3" fontId="17" fillId="0" borderId="2" xfId="0" applyNumberFormat="1" applyFont="1" applyBorder="1" applyAlignment="1" applyProtection="1">
      <alignment horizontal="center"/>
      <protection locked="0"/>
    </xf>
    <xf numFmtId="14" fontId="13" fillId="0" borderId="0" xfId="0" applyNumberFormat="1" applyFont="1" applyBorder="1" applyAlignment="1" applyProtection="1">
      <alignment horizontal="left" vertical="center"/>
      <protection locked="0"/>
    </xf>
    <xf numFmtId="0" fontId="13" fillId="0" borderId="57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24" xfId="0" applyFont="1" applyBorder="1" applyAlignment="1" applyProtection="1">
      <alignment horizontal="center" vertical="center"/>
      <protection/>
    </xf>
    <xf numFmtId="0" fontId="13" fillId="0" borderId="57" xfId="0" applyFont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4" fontId="17" fillId="0" borderId="0" xfId="0" applyNumberFormat="1" applyFont="1" applyBorder="1" applyAlignment="1" applyProtection="1">
      <alignment horizontal="center"/>
      <protection locked="0"/>
    </xf>
    <xf numFmtId="4" fontId="17" fillId="0" borderId="60" xfId="0" applyNumberFormat="1" applyFont="1" applyBorder="1" applyAlignment="1" applyProtection="1">
      <alignment horizontal="center"/>
      <protection locked="0"/>
    </xf>
    <xf numFmtId="0" fontId="17" fillId="0" borderId="42" xfId="0" applyFont="1" applyBorder="1" applyAlignment="1" applyProtection="1">
      <alignment horizontal="center"/>
      <protection locked="0"/>
    </xf>
    <xf numFmtId="0" fontId="17" fillId="0" borderId="60" xfId="0" applyFont="1" applyBorder="1" applyAlignment="1" applyProtection="1">
      <alignment horizontal="center"/>
      <protection locked="0"/>
    </xf>
    <xf numFmtId="0" fontId="17" fillId="0" borderId="42" xfId="0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7" fillId="0" borderId="71" xfId="0" applyFon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4" fontId="15" fillId="0" borderId="34" xfId="0" applyNumberFormat="1" applyFont="1" applyBorder="1" applyAlignment="1" applyProtection="1">
      <alignment horizontal="center" vertical="center"/>
      <protection hidden="1"/>
    </xf>
    <xf numFmtId="4" fontId="15" fillId="0" borderId="80" xfId="0" applyNumberFormat="1" applyFont="1" applyBorder="1" applyAlignment="1" applyProtection="1">
      <alignment horizontal="center" vertical="center"/>
      <protection hidden="1"/>
    </xf>
    <xf numFmtId="3" fontId="15" fillId="0" borderId="41" xfId="0" applyNumberFormat="1" applyFont="1" applyBorder="1" applyAlignment="1" applyProtection="1">
      <alignment horizontal="center" vertical="center"/>
      <protection hidden="1"/>
    </xf>
    <xf numFmtId="3" fontId="15" fillId="0" borderId="75" xfId="0" applyNumberFormat="1" applyFont="1" applyBorder="1" applyAlignment="1" applyProtection="1">
      <alignment horizontal="center" vertical="center"/>
      <protection hidden="1"/>
    </xf>
    <xf numFmtId="3" fontId="15" fillId="0" borderId="34" xfId="0" applyNumberFormat="1" applyFont="1" applyBorder="1" applyAlignment="1" applyProtection="1">
      <alignment horizontal="center" vertical="center"/>
      <protection hidden="1"/>
    </xf>
    <xf numFmtId="3" fontId="15" fillId="0" borderId="80" xfId="0" applyNumberFormat="1" applyFont="1" applyBorder="1" applyAlignment="1" applyProtection="1">
      <alignment horizontal="center" vertical="center"/>
      <protection hidden="1"/>
    </xf>
    <xf numFmtId="4" fontId="15" fillId="0" borderId="83" xfId="21" applyNumberFormat="1" applyFont="1" applyBorder="1" applyAlignment="1" applyProtection="1">
      <alignment horizontal="center" vertical="center"/>
      <protection hidden="1"/>
    </xf>
    <xf numFmtId="4" fontId="15" fillId="0" borderId="88" xfId="21" applyNumberFormat="1" applyFont="1" applyBorder="1" applyAlignment="1" applyProtection="1">
      <alignment horizontal="center" vertical="center"/>
      <protection hidden="1"/>
    </xf>
    <xf numFmtId="4" fontId="15" fillId="0" borderId="90" xfId="21" applyNumberFormat="1" applyFont="1" applyBorder="1" applyAlignment="1" applyProtection="1">
      <alignment horizontal="center" vertical="center"/>
      <protection hidden="1"/>
    </xf>
    <xf numFmtId="0" fontId="17" fillId="0" borderId="30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7" fillId="0" borderId="39" xfId="21" applyFont="1" applyBorder="1" applyAlignment="1" applyProtection="1">
      <alignment horizontal="left" vertical="center"/>
      <protection/>
    </xf>
    <xf numFmtId="4" fontId="15" fillId="0" borderId="41" xfId="0" applyNumberFormat="1" applyFont="1" applyBorder="1" applyAlignment="1" applyProtection="1">
      <alignment horizontal="center" vertical="center"/>
      <protection hidden="1"/>
    </xf>
    <xf numFmtId="4" fontId="15" fillId="0" borderId="93" xfId="0" applyNumberFormat="1" applyFont="1" applyBorder="1" applyAlignment="1" applyProtection="1">
      <alignment horizontal="center" vertical="center"/>
      <protection hidden="1"/>
    </xf>
    <xf numFmtId="3" fontId="13" fillId="0" borderId="41" xfId="0" applyNumberFormat="1" applyFont="1" applyBorder="1" applyAlignment="1" applyProtection="1">
      <alignment horizontal="center" vertical="center"/>
      <protection hidden="1"/>
    </xf>
    <xf numFmtId="3" fontId="13" fillId="0" borderId="93" xfId="0" applyNumberFormat="1" applyFont="1" applyBorder="1" applyAlignment="1" applyProtection="1">
      <alignment horizontal="center" vertical="center"/>
      <protection hidden="1"/>
    </xf>
    <xf numFmtId="195" fontId="15" fillId="0" borderId="41" xfId="0" applyNumberFormat="1" applyFont="1" applyBorder="1" applyAlignment="1" applyProtection="1">
      <alignment horizontal="center" vertical="center"/>
      <protection hidden="1"/>
    </xf>
    <xf numFmtId="195" fontId="15" fillId="0" borderId="75" xfId="0" applyNumberFormat="1" applyFont="1" applyBorder="1" applyAlignment="1" applyProtection="1">
      <alignment horizontal="center" vertical="center"/>
      <protection hidden="1"/>
    </xf>
    <xf numFmtId="195" fontId="15" fillId="0" borderId="93" xfId="0" applyNumberFormat="1" applyFont="1" applyBorder="1" applyAlignment="1" applyProtection="1">
      <alignment horizontal="center" vertical="center"/>
      <protection hidden="1"/>
    </xf>
    <xf numFmtId="3" fontId="15" fillId="0" borderId="93" xfId="0" applyNumberFormat="1" applyFont="1" applyBorder="1" applyAlignment="1" applyProtection="1">
      <alignment horizontal="center" vertical="center"/>
      <protection hidden="1"/>
    </xf>
    <xf numFmtId="0" fontId="15" fillId="0" borderId="75" xfId="0" applyFont="1" applyBorder="1" applyAlignment="1" applyProtection="1">
      <alignment horizontal="left" vertical="center"/>
      <protection hidden="1"/>
    </xf>
    <xf numFmtId="0" fontId="15" fillId="0" borderId="93" xfId="0" applyFont="1" applyBorder="1" applyAlignment="1" applyProtection="1">
      <alignment horizontal="left" vertical="center"/>
      <protection hidden="1"/>
    </xf>
    <xf numFmtId="4" fontId="15" fillId="0" borderId="34" xfId="21" applyNumberFormat="1" applyFont="1" applyBorder="1" applyAlignment="1" applyProtection="1">
      <alignment horizontal="center" vertical="center"/>
      <protection hidden="1"/>
    </xf>
    <xf numFmtId="4" fontId="15" fillId="0" borderId="80" xfId="21" applyNumberFormat="1" applyFont="1" applyBorder="1" applyAlignment="1" applyProtection="1">
      <alignment horizontal="center" vertical="center"/>
      <protection hidden="1"/>
    </xf>
    <xf numFmtId="4" fontId="15" fillId="0" borderId="37" xfId="21" applyNumberFormat="1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locked="0"/>
    </xf>
    <xf numFmtId="4" fontId="15" fillId="0" borderId="83" xfId="0" applyNumberFormat="1" applyFont="1" applyBorder="1" applyAlignment="1" applyProtection="1">
      <alignment horizontal="center" vertical="center"/>
      <protection hidden="1"/>
    </xf>
    <xf numFmtId="4" fontId="15" fillId="0" borderId="88" xfId="0" applyNumberFormat="1" applyFont="1" applyBorder="1" applyAlignment="1" applyProtection="1">
      <alignment horizontal="center" vertical="center"/>
      <protection hidden="1"/>
    </xf>
    <xf numFmtId="195" fontId="15" fillId="0" borderId="34" xfId="0" applyNumberFormat="1" applyFont="1" applyBorder="1" applyAlignment="1" applyProtection="1">
      <alignment horizontal="center" vertical="center"/>
      <protection hidden="1"/>
    </xf>
    <xf numFmtId="195" fontId="15" fillId="0" borderId="80" xfId="0" applyNumberFormat="1" applyFont="1" applyBorder="1" applyAlignment="1" applyProtection="1">
      <alignment horizontal="center" vertical="center"/>
      <protection hidden="1"/>
    </xf>
    <xf numFmtId="195" fontId="15" fillId="0" borderId="37" xfId="0" applyNumberFormat="1" applyFont="1" applyBorder="1" applyAlignment="1" applyProtection="1">
      <alignment horizontal="center" vertical="center"/>
      <protection hidden="1"/>
    </xf>
    <xf numFmtId="44" fontId="19" fillId="0" borderId="3" xfId="0" applyNumberFormat="1" applyFont="1" applyBorder="1" applyAlignment="1" applyProtection="1">
      <alignment horizontal="left" vertical="center"/>
      <protection/>
    </xf>
    <xf numFmtId="3" fontId="10" fillId="0" borderId="11" xfId="0" applyNumberFormat="1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>
      <alignment vertical="center"/>
    </xf>
    <xf numFmtId="3" fontId="13" fillId="0" borderId="34" xfId="0" applyNumberFormat="1" applyFont="1" applyBorder="1" applyAlignment="1" applyProtection="1">
      <alignment horizontal="center" vertical="center"/>
      <protection hidden="1"/>
    </xf>
    <xf numFmtId="3" fontId="13" fillId="0" borderId="37" xfId="0" applyNumberFormat="1" applyFont="1" applyBorder="1" applyAlignment="1" applyProtection="1">
      <alignment horizontal="center" vertical="center"/>
      <protection hidden="1"/>
    </xf>
    <xf numFmtId="3" fontId="40" fillId="0" borderId="11" xfId="0" applyNumberFormat="1" applyFont="1" applyBorder="1" applyAlignment="1" applyProtection="1">
      <alignment horizontal="left" vertical="center"/>
      <protection hidden="1"/>
    </xf>
    <xf numFmtId="189" fontId="40" fillId="0" borderId="11" xfId="0" applyNumberFormat="1" applyFont="1" applyBorder="1" applyAlignment="1" applyProtection="1">
      <alignment horizontal="left" vertical="center"/>
      <protection hidden="1"/>
    </xf>
    <xf numFmtId="3" fontId="10" fillId="0" borderId="94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top" wrapText="1"/>
      <protection locked="0"/>
    </xf>
    <xf numFmtId="4" fontId="15" fillId="0" borderId="37" xfId="0" applyNumberFormat="1" applyFont="1" applyBorder="1" applyAlignment="1" applyProtection="1">
      <alignment horizontal="center" vertical="center"/>
      <protection hidden="1"/>
    </xf>
    <xf numFmtId="3" fontId="15" fillId="0" borderId="37" xfId="0" applyNumberFormat="1" applyFont="1" applyBorder="1" applyAlignment="1" applyProtection="1">
      <alignment horizontal="center" vertical="center"/>
      <protection hidden="1"/>
    </xf>
    <xf numFmtId="4" fontId="15" fillId="0" borderId="75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left" vertical="center"/>
      <protection hidden="1"/>
    </xf>
    <xf numFmtId="183" fontId="19" fillId="0" borderId="0" xfId="0" applyNumberFormat="1" applyFont="1" applyBorder="1" applyAlignment="1" applyProtection="1">
      <alignment horizontal="left" vertical="center"/>
      <protection locked="0"/>
    </xf>
    <xf numFmtId="183" fontId="19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7" fillId="0" borderId="34" xfId="0" applyFont="1" applyBorder="1" applyAlignment="1" applyProtection="1">
      <alignment horizontal="center"/>
      <protection hidden="1"/>
    </xf>
    <xf numFmtId="0" fontId="17" fillId="0" borderId="80" xfId="0" applyFont="1" applyBorder="1" applyAlignment="1" applyProtection="1">
      <alignment horizontal="center"/>
      <protection hidden="1"/>
    </xf>
    <xf numFmtId="0" fontId="17" fillId="0" borderId="37" xfId="0" applyFont="1" applyBorder="1" applyAlignment="1" applyProtection="1">
      <alignment horizontal="center"/>
      <protection hidden="1"/>
    </xf>
    <xf numFmtId="0" fontId="27" fillId="0" borderId="0" xfId="0" applyFont="1" applyAlignment="1" applyProtection="1">
      <alignment horizontal="center"/>
      <protection hidden="1"/>
    </xf>
    <xf numFmtId="206" fontId="15" fillId="0" borderId="41" xfId="0" applyNumberFormat="1" applyFont="1" applyBorder="1" applyAlignment="1" applyProtection="1">
      <alignment horizontal="center" vertical="center"/>
      <protection hidden="1"/>
    </xf>
    <xf numFmtId="206" fontId="15" fillId="0" borderId="75" xfId="0" applyNumberFormat="1" applyFont="1" applyBorder="1" applyAlignment="1" applyProtection="1">
      <alignment horizontal="center" vertical="center"/>
      <protection hidden="1"/>
    </xf>
    <xf numFmtId="206" fontId="15" fillId="0" borderId="93" xfId="0" applyNumberFormat="1" applyFont="1" applyBorder="1" applyAlignment="1" applyProtection="1">
      <alignment horizontal="center" vertical="center"/>
      <protection hidden="1"/>
    </xf>
    <xf numFmtId="0" fontId="17" fillId="0" borderId="80" xfId="0" applyFont="1" applyBorder="1" applyAlignment="1" applyProtection="1">
      <alignment horizontal="left"/>
      <protection hidden="1"/>
    </xf>
    <xf numFmtId="0" fontId="17" fillId="0" borderId="37" xfId="0" applyFont="1" applyBorder="1" applyAlignment="1" applyProtection="1">
      <alignment horizontal="left"/>
      <protection hidden="1"/>
    </xf>
    <xf numFmtId="206" fontId="17" fillId="0" borderId="34" xfId="0" applyNumberFormat="1" applyFont="1" applyBorder="1" applyAlignment="1" applyProtection="1">
      <alignment horizontal="center"/>
      <protection hidden="1"/>
    </xf>
    <xf numFmtId="206" fontId="17" fillId="0" borderId="80" xfId="0" applyNumberFormat="1" applyFont="1" applyBorder="1" applyAlignment="1" applyProtection="1">
      <alignment horizontal="center"/>
      <protection hidden="1"/>
    </xf>
    <xf numFmtId="206" fontId="17" fillId="0" borderId="37" xfId="0" applyNumberFormat="1" applyFont="1" applyBorder="1" applyAlignment="1" applyProtection="1">
      <alignment horizontal="center"/>
      <protection hidden="1"/>
    </xf>
    <xf numFmtId="0" fontId="15" fillId="0" borderId="82" xfId="0" applyFont="1" applyBorder="1" applyAlignment="1" applyProtection="1">
      <alignment horizontal="left" vertical="center"/>
      <protection/>
    </xf>
    <xf numFmtId="0" fontId="15" fillId="0" borderId="80" xfId="0" applyFont="1" applyBorder="1" applyAlignment="1" applyProtection="1">
      <alignment horizontal="left" vertical="center"/>
      <protection/>
    </xf>
    <xf numFmtId="0" fontId="15" fillId="0" borderId="74" xfId="0" applyFont="1" applyBorder="1" applyAlignment="1" applyProtection="1">
      <alignment horizontal="left" vertical="center"/>
      <protection/>
    </xf>
    <xf numFmtId="0" fontId="15" fillId="0" borderId="75" xfId="0" applyFont="1" applyBorder="1" applyAlignment="1" applyProtection="1">
      <alignment horizontal="left" vertical="center"/>
      <protection/>
    </xf>
    <xf numFmtId="206" fontId="15" fillId="0" borderId="34" xfId="0" applyNumberFormat="1" applyFont="1" applyBorder="1" applyAlignment="1" applyProtection="1">
      <alignment horizontal="center" vertical="center"/>
      <protection hidden="1"/>
    </xf>
    <xf numFmtId="206" fontId="15" fillId="0" borderId="80" xfId="0" applyNumberFormat="1" applyFont="1" applyBorder="1" applyAlignment="1" applyProtection="1">
      <alignment horizontal="center" vertical="center"/>
      <protection hidden="1"/>
    </xf>
    <xf numFmtId="206" fontId="15" fillId="0" borderId="37" xfId="0" applyNumberFormat="1" applyFont="1" applyBorder="1" applyAlignment="1" applyProtection="1">
      <alignment horizontal="center" vertical="center"/>
      <protection hidden="1"/>
    </xf>
    <xf numFmtId="4" fontId="15" fillId="0" borderId="24" xfId="0" applyNumberFormat="1" applyFont="1" applyBorder="1" applyAlignment="1" applyProtection="1">
      <alignment horizontal="center" vertical="center"/>
      <protection hidden="1"/>
    </xf>
    <xf numFmtId="4" fontId="15" fillId="0" borderId="70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4" fontId="10" fillId="0" borderId="57" xfId="0" applyNumberFormat="1" applyFont="1" applyBorder="1" applyAlignment="1" applyProtection="1">
      <alignment horizontal="center"/>
      <protection/>
    </xf>
    <xf numFmtId="14" fontId="10" fillId="0" borderId="0" xfId="0" applyNumberFormat="1" applyFont="1" applyBorder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rm-MINVU 2001a" xfId="21"/>
    <cellStyle name="Normal_Libro1" xfId="22"/>
    <cellStyle name="Normal_Libro3" xfId="23"/>
    <cellStyle name="Percent" xfId="24"/>
  </cellStyles>
  <dxfs count="12">
    <dxf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 style="hair">
          <color rgb="FF000000"/>
        </bottom>
      </border>
    </dxf>
    <dxf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/>
        <bottom style="hair">
          <color rgb="FF000000"/>
        </bottom>
      </border>
    </dxf>
    <dxf>
      <font>
        <strike val="0"/>
        <color rgb="FFFF0000"/>
      </font>
      <border/>
    </dxf>
    <dxf>
      <border>
        <left>
          <color rgb="FF000000"/>
        </left>
        <right>
          <color rgb="FF000000"/>
        </right>
        <top/>
        <bottom style="hair">
          <color rgb="FF000000"/>
        </bottom>
      </border>
    </dxf>
    <dxf>
      <fill>
        <patternFill>
          <bgColor rgb="FF000000"/>
        </patternFill>
      </fill>
      <border/>
    </dxf>
    <dxf>
      <font>
        <color rgb="FFFFFFFF"/>
      </font>
      <border>
        <left>
          <color rgb="FF000000"/>
        </left>
        <right>
          <color rgb="FF000000"/>
        </right>
      </border>
    </dxf>
    <dxf>
      <font>
        <color rgb="FFFFFFFF"/>
      </font>
      <border/>
    </dxf>
    <dxf>
      <border>
        <bottom style="hair">
          <color rgb="FF000000"/>
        </bottom>
      </border>
    </dxf>
    <dxf>
      <fill>
        <patternFill patternType="none">
          <bgColor indexed="65"/>
        </patternFill>
      </fill>
      <border>
        <bottom style="hair">
          <color rgb="FF000000"/>
        </bottom>
      </border>
    </dxf>
    <dxf>
      <fill>
        <patternFill patternType="none">
          <bgColor indexed="65"/>
        </patternFill>
      </fill>
      <border/>
    </dxf>
    <dxf>
      <font>
        <b/>
        <i val="0"/>
        <color rgb="FFFF0000"/>
      </font>
      <border/>
    </dxf>
    <dxf>
      <fill>
        <patternFill patternType="lightGray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DDDD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62</xdr:row>
      <xdr:rowOff>47625</xdr:rowOff>
    </xdr:from>
    <xdr:to>
      <xdr:col>29</xdr:col>
      <xdr:colOff>0</xdr:colOff>
      <xdr:row>63</xdr:row>
      <xdr:rowOff>104775</xdr:rowOff>
    </xdr:to>
    <xdr:sp>
      <xdr:nvSpPr>
        <xdr:cNvPr id="1" name="Texto 17"/>
        <xdr:cNvSpPr txBox="1">
          <a:spLocks noChangeArrowheads="1"/>
        </xdr:cNvSpPr>
      </xdr:nvSpPr>
      <xdr:spPr>
        <a:xfrm>
          <a:off x="6848475" y="9267825"/>
          <a:ext cx="0" cy="590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profesional que firma declara que no ha tenido en el pasado o presente interés alguno en la propiedad tasada, ni relación alguna con el propietario o solicitante. Declara además que ha inspeccionado la propiedad por dentro y por fuera, que la información aquí señalada es totalmente verdadera, que todos los inconvenientes de la propiedad y su entorno están mencionados, y que no ha obviado nada que influya en el valor asignado.
</a:t>
          </a:r>
        </a:p>
      </xdr:txBody>
    </xdr:sp>
    <xdr:clientData/>
  </xdr:twoCellAnchor>
  <xdr:twoCellAnchor>
    <xdr:from>
      <xdr:col>29</xdr:col>
      <xdr:colOff>0</xdr:colOff>
      <xdr:row>58</xdr:row>
      <xdr:rowOff>9525</xdr:rowOff>
    </xdr:from>
    <xdr:to>
      <xdr:col>29</xdr:col>
      <xdr:colOff>0</xdr:colOff>
      <xdr:row>58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6848475" y="80867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latin typeface="Arial"/>
              <a:ea typeface="Arial"/>
              <a:cs typeface="Arial"/>
            </a:rPr>
            <a:t>BSA-Urb.xlt</a:t>
          </a:r>
        </a:p>
      </xdr:txBody>
    </xdr:sp>
    <xdr:clientData/>
  </xdr:twoCellAnchor>
  <xdr:twoCellAnchor>
    <xdr:from>
      <xdr:col>29</xdr:col>
      <xdr:colOff>0</xdr:colOff>
      <xdr:row>14</xdr:row>
      <xdr:rowOff>0</xdr:rowOff>
    </xdr:from>
    <xdr:to>
      <xdr:col>29</xdr:col>
      <xdr:colOff>0</xdr:colOff>
      <xdr:row>14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48475" y="1905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8000" rIns="18000" bIns="18000"/>
        <a:p>
          <a:pPr algn="ctr">
            <a:defRPr/>
          </a:pPr>
          <a:r>
            <a:rPr lang="en-US" cap="none" sz="800" b="1" i="0" u="none" baseline="0"/>
            <a:t>UF</a:t>
          </a:r>
        </a:p>
      </xdr:txBody>
    </xdr:sp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505575" y="10382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8</xdr:row>
      <xdr:rowOff>9525</xdr:rowOff>
    </xdr:from>
    <xdr:to>
      <xdr:col>26</xdr:col>
      <xdr:colOff>0</xdr:colOff>
      <xdr:row>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505575" y="10477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de</a:t>
          </a:r>
        </a:p>
      </xdr:txBody>
    </xdr:sp>
    <xdr:clientData/>
  </xdr:twoCellAnchor>
  <xdr:twoCellAnchor>
    <xdr:from>
      <xdr:col>29</xdr:col>
      <xdr:colOff>0</xdr:colOff>
      <xdr:row>62</xdr:row>
      <xdr:rowOff>47625</xdr:rowOff>
    </xdr:from>
    <xdr:to>
      <xdr:col>29</xdr:col>
      <xdr:colOff>0</xdr:colOff>
      <xdr:row>63</xdr:row>
      <xdr:rowOff>104775</xdr:rowOff>
    </xdr:to>
    <xdr:sp>
      <xdr:nvSpPr>
        <xdr:cNvPr id="6" name="Texto 17"/>
        <xdr:cNvSpPr txBox="1">
          <a:spLocks noChangeArrowheads="1"/>
        </xdr:cNvSpPr>
      </xdr:nvSpPr>
      <xdr:spPr>
        <a:xfrm>
          <a:off x="6848475" y="9267825"/>
          <a:ext cx="0" cy="590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profesional que firma declara que no ha tenido en el pasado o presente interés alguno en la propiedad tasada, ni relación alguna con el propietario o solicitante. Declara además que ha inspeccionado la propiedad por dentro y por fuera, que la información aquí señalada es totalmente verdadera, que todos los inconvenientes de la propiedad y su entorno están mencionados, y que no ha obviado nada que influya en el valor asignado.
</a:t>
          </a:r>
        </a:p>
      </xdr:txBody>
    </xdr:sp>
    <xdr:clientData/>
  </xdr:twoCellAnchor>
  <xdr:twoCellAnchor>
    <xdr:from>
      <xdr:col>2</xdr:col>
      <xdr:colOff>38100</xdr:colOff>
      <xdr:row>8</xdr:row>
      <xdr:rowOff>104775</xdr:rowOff>
    </xdr:from>
    <xdr:to>
      <xdr:col>2</xdr:col>
      <xdr:colOff>200025</xdr:colOff>
      <xdr:row>11</xdr:row>
      <xdr:rowOff>85725</xdr:rowOff>
    </xdr:to>
    <xdr:grpSp>
      <xdr:nvGrpSpPr>
        <xdr:cNvPr id="7" name="Group 11"/>
        <xdr:cNvGrpSpPr>
          <a:grpSpLocks/>
        </xdr:cNvGrpSpPr>
      </xdr:nvGrpSpPr>
      <xdr:grpSpPr>
        <a:xfrm>
          <a:off x="161925" y="1143000"/>
          <a:ext cx="161925" cy="419100"/>
          <a:chOff x="17" y="126"/>
          <a:chExt cx="17" cy="46"/>
        </a:xfrm>
        <a:solidFill>
          <a:srgbClr val="FFFFFF"/>
        </a:solidFill>
      </xdr:grpSpPr>
      <xdr:sp>
        <xdr:nvSpPr>
          <xdr:cNvPr id="8" name="Line 12"/>
          <xdr:cNvSpPr>
            <a:spLocks/>
          </xdr:cNvSpPr>
        </xdr:nvSpPr>
        <xdr:spPr>
          <a:xfrm flipV="1">
            <a:off x="22" y="138"/>
            <a:ext cx="0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Box 13"/>
          <xdr:cNvSpPr txBox="1">
            <a:spLocks noChangeArrowheads="1"/>
          </xdr:cNvSpPr>
        </xdr:nvSpPr>
        <xdr:spPr>
          <a:xfrm>
            <a:off x="17" y="126"/>
            <a:ext cx="1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700" b="1" i="0" u="none" baseline="0">
                <a:latin typeface="Arial"/>
                <a:ea typeface="Arial"/>
                <a:cs typeface="Arial"/>
              </a:rPr>
              <a:t>N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10</xdr:row>
      <xdr:rowOff>0</xdr:rowOff>
    </xdr:from>
    <xdr:to>
      <xdr:col>35</xdr:col>
      <xdr:colOff>19050</xdr:colOff>
      <xdr:row>10</xdr:row>
      <xdr:rowOff>0</xdr:rowOff>
    </xdr:to>
    <xdr:sp fLocksText="0">
      <xdr:nvSpPr>
        <xdr:cNvPr id="1" name="Texto 213"/>
        <xdr:cNvSpPr txBox="1">
          <a:spLocks noChangeArrowheads="1"/>
        </xdr:cNvSpPr>
      </xdr:nvSpPr>
      <xdr:spPr>
        <a:xfrm>
          <a:off x="66675" y="1562100"/>
          <a:ext cx="6438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Detalle  :    (escribir con letra minúscula)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162300" y="0"/>
          <a:ext cx="3686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5</xdr:row>
      <xdr:rowOff>0</xdr:rowOff>
    </xdr:from>
    <xdr:to>
      <xdr:col>33</xdr:col>
      <xdr:colOff>19050</xdr:colOff>
      <xdr:row>5</xdr:row>
      <xdr:rowOff>0</xdr:rowOff>
    </xdr:to>
    <xdr:sp>
      <xdr:nvSpPr>
        <xdr:cNvPr id="3" name="Line 34"/>
        <xdr:cNvSpPr>
          <a:spLocks/>
        </xdr:cNvSpPr>
      </xdr:nvSpPr>
      <xdr:spPr>
        <a:xfrm flipV="1">
          <a:off x="4029075" y="800100"/>
          <a:ext cx="1971675" cy="0"/>
        </a:xfrm>
        <a:prstGeom prst="line">
          <a:avLst/>
        </a:prstGeom>
        <a:solidFill>
          <a:srgbClr val="FFFFFF"/>
        </a:solidFill>
        <a:ln w="2476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1"/>
  <dimension ref="A1:AE69"/>
  <sheetViews>
    <sheetView showGridLines="0" showZeros="0" tabSelected="1" workbookViewId="0" topLeftCell="A1">
      <selection activeCell="A1" sqref="A1"/>
    </sheetView>
  </sheetViews>
  <sheetFormatPr defaultColWidth="11.421875" defaultRowHeight="12.75"/>
  <cols>
    <col min="1" max="1" width="0.13671875" style="43" customWidth="1"/>
    <col min="2" max="2" width="1.7109375" style="43" customWidth="1"/>
    <col min="3" max="3" width="3.140625" style="43" customWidth="1"/>
    <col min="4" max="5" width="2.7109375" style="43" customWidth="1"/>
    <col min="6" max="6" width="3.00390625" style="43" customWidth="1"/>
    <col min="7" max="10" width="2.7109375" style="43" customWidth="1"/>
    <col min="11" max="11" width="4.140625" style="43" customWidth="1"/>
    <col min="12" max="12" width="4.00390625" style="43" customWidth="1"/>
    <col min="13" max="13" width="4.7109375" style="43" customWidth="1"/>
    <col min="14" max="14" width="4.421875" style="43" customWidth="1"/>
    <col min="15" max="15" width="3.8515625" style="43" customWidth="1"/>
    <col min="16" max="16" width="5.00390625" style="43" customWidth="1"/>
    <col min="17" max="18" width="4.28125" style="43" customWidth="1"/>
    <col min="19" max="19" width="4.7109375" style="43" customWidth="1"/>
    <col min="20" max="20" width="7.28125" style="43" customWidth="1"/>
    <col min="21" max="21" width="3.28125" style="43" customWidth="1"/>
    <col min="22" max="22" width="5.57421875" style="23" customWidth="1"/>
    <col min="23" max="23" width="4.28125" style="23" customWidth="1"/>
    <col min="24" max="24" width="6.28125" style="23" customWidth="1"/>
    <col min="25" max="25" width="2.140625" style="23" customWidth="1"/>
    <col min="26" max="26" width="5.00390625" style="23" customWidth="1"/>
    <col min="27" max="27" width="4.421875" style="23" customWidth="1"/>
    <col min="28" max="28" width="0.5625" style="23" customWidth="1"/>
    <col min="29" max="29" width="0.13671875" style="40" customWidth="1"/>
    <col min="30" max="16384" width="11.421875" style="23" hidden="1" customWidth="1"/>
  </cols>
  <sheetData>
    <row r="1" spans="1:29" s="2" customFormat="1" ht="28.5" customHeight="1">
      <c r="A1" s="172"/>
      <c r="B1" s="1"/>
      <c r="H1" s="3"/>
      <c r="I1" s="3"/>
      <c r="J1" s="3"/>
      <c r="K1" s="3"/>
      <c r="L1" s="3"/>
      <c r="M1" s="3"/>
      <c r="N1" s="3"/>
      <c r="O1" s="4" t="s">
        <v>507</v>
      </c>
      <c r="S1" s="173"/>
      <c r="V1" s="5"/>
      <c r="W1" s="792" t="s">
        <v>504</v>
      </c>
      <c r="X1" s="126" t="s">
        <v>72</v>
      </c>
      <c r="Y1" s="849"/>
      <c r="Z1" s="849"/>
      <c r="AA1" s="850"/>
      <c r="AB1" s="884"/>
      <c r="AC1" s="884"/>
    </row>
    <row r="2" spans="28:29" s="2" customFormat="1" ht="1.5" customHeight="1">
      <c r="AB2" s="6"/>
      <c r="AC2" s="7"/>
    </row>
    <row r="3" spans="4:29" s="2" customFormat="1" ht="12" customHeight="1">
      <c r="D3" s="579" t="s">
        <v>0</v>
      </c>
      <c r="E3" s="848"/>
      <c r="F3" s="848"/>
      <c r="G3" s="848"/>
      <c r="H3" s="848"/>
      <c r="I3" s="848"/>
      <c r="J3" s="848"/>
      <c r="K3" s="848"/>
      <c r="O3" s="14" t="s">
        <v>1</v>
      </c>
      <c r="P3" s="848"/>
      <c r="Q3" s="848"/>
      <c r="R3" s="848"/>
      <c r="S3" s="848"/>
      <c r="T3" s="848"/>
      <c r="X3" s="580" t="s">
        <v>26</v>
      </c>
      <c r="Y3" s="1067"/>
      <c r="Z3" s="1068"/>
      <c r="AA3" s="1068"/>
      <c r="AB3" s="6"/>
      <c r="AC3" s="6"/>
    </row>
    <row r="4" spans="3:29" s="74" customFormat="1" ht="2.25" customHeight="1">
      <c r="C4" s="71"/>
      <c r="F4" s="123"/>
      <c r="T4" s="73"/>
      <c r="U4" s="73"/>
      <c r="V4" s="99"/>
      <c r="W4" s="99"/>
      <c r="X4" s="99"/>
      <c r="Y4" s="73"/>
      <c r="Z4" s="73"/>
      <c r="AA4" s="99"/>
      <c r="AC4" s="76"/>
    </row>
    <row r="5" spans="2:29" s="74" customFormat="1" ht="12.75" customHeight="1">
      <c r="B5" s="660"/>
      <c r="C5" s="632" t="s">
        <v>2</v>
      </c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629"/>
      <c r="Q5" s="629"/>
      <c r="R5" s="629"/>
      <c r="S5" s="629"/>
      <c r="T5" s="629"/>
      <c r="U5" s="629"/>
      <c r="V5" s="629"/>
      <c r="W5" s="629"/>
      <c r="X5" s="629"/>
      <c r="Y5" s="629"/>
      <c r="Z5" s="629"/>
      <c r="AA5" s="629"/>
      <c r="AB5" s="661"/>
      <c r="AC5" s="76"/>
    </row>
    <row r="6" spans="2:29" s="74" customFormat="1" ht="2.25" customHeight="1">
      <c r="B6" s="75"/>
      <c r="C6" s="71"/>
      <c r="F6" s="123"/>
      <c r="T6" s="73"/>
      <c r="U6" s="73"/>
      <c r="V6" s="99"/>
      <c r="W6" s="174"/>
      <c r="X6" s="99"/>
      <c r="Y6" s="73"/>
      <c r="Z6" s="73"/>
      <c r="AA6" s="99"/>
      <c r="AB6" s="78"/>
      <c r="AC6" s="76"/>
    </row>
    <row r="7" spans="2:29" s="74" customFormat="1" ht="11.25" customHeight="1">
      <c r="B7" s="75"/>
      <c r="C7" s="133"/>
      <c r="E7" s="134"/>
      <c r="F7" s="135"/>
      <c r="G7" s="136"/>
      <c r="H7" s="136"/>
      <c r="I7" s="133"/>
      <c r="J7" s="137"/>
      <c r="K7" s="134"/>
      <c r="L7" s="318"/>
      <c r="M7" s="319" t="s">
        <v>92</v>
      </c>
      <c r="N7" s="886"/>
      <c r="O7" s="886"/>
      <c r="P7" s="886"/>
      <c r="Q7" s="886"/>
      <c r="R7" s="886"/>
      <c r="S7" s="886"/>
      <c r="T7" s="886"/>
      <c r="U7" s="886"/>
      <c r="V7" s="886"/>
      <c r="W7" s="318"/>
      <c r="X7" s="319" t="s">
        <v>3</v>
      </c>
      <c r="Y7" s="888"/>
      <c r="Z7" s="888"/>
      <c r="AA7" s="888"/>
      <c r="AB7" s="17"/>
      <c r="AC7" s="76"/>
    </row>
    <row r="8" spans="1:31" s="74" customFormat="1" ht="11.25" customHeight="1">
      <c r="A8" s="95"/>
      <c r="B8" s="75"/>
      <c r="C8" s="138"/>
      <c r="D8" s="856" t="s">
        <v>9</v>
      </c>
      <c r="E8" s="857" t="s">
        <v>9</v>
      </c>
      <c r="F8" s="857"/>
      <c r="G8" s="857"/>
      <c r="H8" s="857"/>
      <c r="I8" s="857"/>
      <c r="K8" s="139"/>
      <c r="L8" s="318"/>
      <c r="M8" s="319" t="s">
        <v>4</v>
      </c>
      <c r="N8" s="885"/>
      <c r="O8" s="885"/>
      <c r="P8" s="885"/>
      <c r="Q8" s="885"/>
      <c r="R8" s="885"/>
      <c r="S8" s="885"/>
      <c r="T8" s="319" t="s">
        <v>5</v>
      </c>
      <c r="U8" s="864"/>
      <c r="V8" s="858"/>
      <c r="W8" s="858"/>
      <c r="X8" s="858"/>
      <c r="Y8" s="858"/>
      <c r="Z8" s="858"/>
      <c r="AA8" s="858"/>
      <c r="AB8" s="17"/>
      <c r="AC8" s="76"/>
      <c r="AE8" s="572"/>
    </row>
    <row r="9" spans="1:28" s="74" customFormat="1" ht="12" customHeight="1">
      <c r="A9" s="95"/>
      <c r="B9" s="75"/>
      <c r="C9" s="140"/>
      <c r="D9" s="856"/>
      <c r="E9" s="141"/>
      <c r="F9" s="142"/>
      <c r="G9" s="142"/>
      <c r="H9" s="142"/>
      <c r="I9" s="143"/>
      <c r="J9" s="856" t="s">
        <v>9</v>
      </c>
      <c r="K9" s="144"/>
      <c r="L9" s="318"/>
      <c r="M9" s="319" t="s">
        <v>6</v>
      </c>
      <c r="N9" s="885"/>
      <c r="O9" s="885"/>
      <c r="P9" s="885"/>
      <c r="Q9" s="885"/>
      <c r="R9" s="885"/>
      <c r="S9" s="885"/>
      <c r="T9" s="319" t="s">
        <v>7</v>
      </c>
      <c r="U9" s="885"/>
      <c r="V9" s="885"/>
      <c r="W9" s="519"/>
      <c r="X9" s="342"/>
      <c r="Y9" s="435"/>
      <c r="Z9" s="319" t="s">
        <v>8</v>
      </c>
      <c r="AA9" s="341"/>
      <c r="AB9" s="17"/>
    </row>
    <row r="10" spans="1:28" s="74" customFormat="1" ht="11.25" customHeight="1">
      <c r="A10" s="95"/>
      <c r="B10" s="75"/>
      <c r="C10" s="145"/>
      <c r="D10" s="856"/>
      <c r="E10" s="146"/>
      <c r="F10" s="96"/>
      <c r="G10" s="96"/>
      <c r="H10" s="96"/>
      <c r="I10" s="147"/>
      <c r="J10" s="856"/>
      <c r="K10" s="148"/>
      <c r="M10" s="854"/>
      <c r="N10" s="854"/>
      <c r="O10" s="854"/>
      <c r="P10" s="887"/>
      <c r="Q10" s="887"/>
      <c r="R10" s="887"/>
      <c r="S10" s="887"/>
      <c r="T10" s="319" t="s">
        <v>10</v>
      </c>
      <c r="U10" s="885"/>
      <c r="V10" s="885"/>
      <c r="W10" s="885"/>
      <c r="X10" s="885"/>
      <c r="Y10" s="435"/>
      <c r="Z10" s="319" t="s">
        <v>517</v>
      </c>
      <c r="AA10" s="790"/>
      <c r="AB10" s="17"/>
    </row>
    <row r="11" spans="1:29" s="74" customFormat="1" ht="11.25" customHeight="1">
      <c r="A11" s="95"/>
      <c r="B11" s="75"/>
      <c r="C11" s="145"/>
      <c r="D11" s="856"/>
      <c r="E11" s="146"/>
      <c r="F11" s="96"/>
      <c r="G11" s="96"/>
      <c r="H11" s="96"/>
      <c r="I11" s="147"/>
      <c r="J11" s="856"/>
      <c r="K11" s="148"/>
      <c r="L11" s="318"/>
      <c r="M11" s="319" t="s">
        <v>430</v>
      </c>
      <c r="N11" s="885"/>
      <c r="O11" s="885"/>
      <c r="P11" s="885"/>
      <c r="Q11" s="318"/>
      <c r="R11" s="319" t="s">
        <v>103</v>
      </c>
      <c r="S11" s="891"/>
      <c r="T11" s="891"/>
      <c r="U11" s="891"/>
      <c r="V11" s="321" t="s">
        <v>468</v>
      </c>
      <c r="W11" s="341"/>
      <c r="X11" s="318"/>
      <c r="Y11" s="408" t="s">
        <v>518</v>
      </c>
      <c r="Z11" s="885"/>
      <c r="AA11" s="885"/>
      <c r="AB11" s="17"/>
      <c r="AC11" s="76"/>
    </row>
    <row r="12" spans="1:29" s="74" customFormat="1" ht="11.25" customHeight="1">
      <c r="A12" s="95"/>
      <c r="B12" s="75"/>
      <c r="C12" s="133"/>
      <c r="D12" s="856"/>
      <c r="E12" s="149"/>
      <c r="F12" s="150"/>
      <c r="G12" s="150"/>
      <c r="H12" s="150"/>
      <c r="I12" s="151"/>
      <c r="J12" s="856"/>
      <c r="K12" s="134"/>
      <c r="L12" s="318"/>
      <c r="M12" s="319" t="s">
        <v>431</v>
      </c>
      <c r="O12" s="318"/>
      <c r="P12" s="318"/>
      <c r="Q12" s="319" t="s">
        <v>432</v>
      </c>
      <c r="R12" s="339"/>
      <c r="T12" s="318"/>
      <c r="U12" s="319" t="s">
        <v>157</v>
      </c>
      <c r="V12" s="339"/>
      <c r="X12" s="318"/>
      <c r="Y12" s="318"/>
      <c r="Z12" s="319" t="s">
        <v>158</v>
      </c>
      <c r="AA12" s="339"/>
      <c r="AB12" s="17"/>
      <c r="AC12" s="76"/>
    </row>
    <row r="13" spans="1:28" s="74" customFormat="1" ht="11.25" customHeight="1">
      <c r="A13" s="95"/>
      <c r="B13" s="75"/>
      <c r="C13" s="152"/>
      <c r="D13" s="856"/>
      <c r="E13" s="855" t="s">
        <v>9</v>
      </c>
      <c r="F13" s="855"/>
      <c r="G13" s="855"/>
      <c r="H13" s="855"/>
      <c r="I13" s="855"/>
      <c r="J13" s="856"/>
      <c r="K13" s="80"/>
      <c r="L13" s="318"/>
      <c r="M13" s="318"/>
      <c r="N13" s="321"/>
      <c r="O13" s="318"/>
      <c r="Q13" s="409" t="s">
        <v>515</v>
      </c>
      <c r="R13" s="339"/>
      <c r="U13" s="319" t="s">
        <v>516</v>
      </c>
      <c r="V13" s="339"/>
      <c r="X13" s="319" t="s">
        <v>235</v>
      </c>
      <c r="Y13" s="887"/>
      <c r="Z13" s="887"/>
      <c r="AA13" s="887"/>
      <c r="AB13" s="17"/>
    </row>
    <row r="14" spans="1:29" s="74" customFormat="1" ht="11.25" customHeight="1">
      <c r="A14" s="95"/>
      <c r="B14" s="75"/>
      <c r="C14" s="153"/>
      <c r="D14" s="100"/>
      <c r="E14" s="154"/>
      <c r="F14" s="155"/>
      <c r="G14" s="155"/>
      <c r="H14" s="155"/>
      <c r="I14" s="153"/>
      <c r="J14" s="101"/>
      <c r="K14" s="156"/>
      <c r="L14" s="318"/>
      <c r="M14" s="318"/>
      <c r="N14" s="319"/>
      <c r="O14" s="321" t="s">
        <v>367</v>
      </c>
      <c r="P14" s="889"/>
      <c r="Q14" s="889"/>
      <c r="R14" s="889"/>
      <c r="S14" s="886"/>
      <c r="T14" s="886"/>
      <c r="U14" s="886"/>
      <c r="V14" s="886"/>
      <c r="W14" s="886"/>
      <c r="X14" s="886"/>
      <c r="Y14" s="886"/>
      <c r="Z14" s="886"/>
      <c r="AA14" s="886"/>
      <c r="AB14" s="17"/>
      <c r="AC14" s="76"/>
    </row>
    <row r="15" spans="1:29" s="2" customFormat="1" ht="2.25" customHeight="1">
      <c r="A15" s="95"/>
      <c r="B15" s="196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97"/>
      <c r="U15" s="197"/>
      <c r="V15" s="18"/>
      <c r="W15" s="18"/>
      <c r="X15" s="18"/>
      <c r="Y15" s="18"/>
      <c r="Z15" s="18"/>
      <c r="AA15" s="18"/>
      <c r="AB15" s="19"/>
      <c r="AC15" s="7"/>
    </row>
    <row r="16" spans="2:28" s="8" customFormat="1" ht="12.75" customHeight="1">
      <c r="B16" s="655"/>
      <c r="C16" s="641" t="s">
        <v>105</v>
      </c>
      <c r="D16" s="656"/>
      <c r="E16" s="656"/>
      <c r="F16" s="656"/>
      <c r="G16" s="656"/>
      <c r="H16" s="656"/>
      <c r="I16" s="657"/>
      <c r="J16" s="658"/>
      <c r="K16" s="658"/>
      <c r="L16" s="658"/>
      <c r="M16" s="658"/>
      <c r="N16" s="658"/>
      <c r="O16" s="658"/>
      <c r="P16" s="658"/>
      <c r="Q16" s="658"/>
      <c r="R16" s="658"/>
      <c r="S16" s="658"/>
      <c r="T16" s="658"/>
      <c r="U16" s="658"/>
      <c r="V16" s="658"/>
      <c r="W16" s="658"/>
      <c r="X16" s="658"/>
      <c r="Y16" s="658"/>
      <c r="Z16" s="658"/>
      <c r="AA16" s="658"/>
      <c r="AB16" s="659"/>
    </row>
    <row r="17" spans="2:28" s="2" customFormat="1" ht="2.25" customHeight="1">
      <c r="B17" s="127"/>
      <c r="C17" s="124"/>
      <c r="D17" s="7"/>
      <c r="E17" s="7"/>
      <c r="F17" s="7"/>
      <c r="G17" s="7"/>
      <c r="H17" s="7"/>
      <c r="I17" s="17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3"/>
    </row>
    <row r="18" spans="1:29" s="93" customFormat="1" ht="19.5" customHeight="1">
      <c r="A18" s="114"/>
      <c r="B18" s="94"/>
      <c r="C18" s="846"/>
      <c r="D18" s="890"/>
      <c r="E18" s="890"/>
      <c r="F18" s="890"/>
      <c r="G18" s="890"/>
      <c r="H18" s="890"/>
      <c r="I18" s="890"/>
      <c r="J18" s="890"/>
      <c r="K18" s="890"/>
      <c r="L18" s="890"/>
      <c r="M18" s="890"/>
      <c r="N18" s="890"/>
      <c r="O18" s="890"/>
      <c r="P18" s="890"/>
      <c r="Q18" s="890"/>
      <c r="R18" s="890"/>
      <c r="S18" s="890"/>
      <c r="T18" s="890"/>
      <c r="U18" s="890"/>
      <c r="V18" s="890"/>
      <c r="W18" s="890"/>
      <c r="X18" s="890"/>
      <c r="Y18" s="890"/>
      <c r="Z18" s="890"/>
      <c r="AA18" s="890"/>
      <c r="AB18" s="114"/>
      <c r="AC18" s="76"/>
    </row>
    <row r="19" spans="1:29" s="185" customFormat="1" ht="12.75" customHeight="1">
      <c r="A19" s="8"/>
      <c r="B19" s="184"/>
      <c r="C19" s="325"/>
      <c r="D19" s="323" t="s">
        <v>354</v>
      </c>
      <c r="E19" s="845"/>
      <c r="F19" s="845"/>
      <c r="G19" s="845"/>
      <c r="H19" s="845"/>
      <c r="I19" s="845"/>
      <c r="J19" s="325"/>
      <c r="K19" s="325"/>
      <c r="L19" s="325"/>
      <c r="M19" s="323" t="s">
        <v>204</v>
      </c>
      <c r="N19" s="845"/>
      <c r="O19" s="845"/>
      <c r="P19" s="845"/>
      <c r="R19" s="326" t="s">
        <v>355</v>
      </c>
      <c r="S19" s="845"/>
      <c r="T19" s="845"/>
      <c r="U19" s="845"/>
      <c r="W19" s="345" t="s">
        <v>43</v>
      </c>
      <c r="X19" s="845"/>
      <c r="Y19" s="845"/>
      <c r="Z19" s="845"/>
      <c r="AA19" s="845"/>
      <c r="AB19" s="17"/>
      <c r="AC19" s="8"/>
    </row>
    <row r="20" spans="1:28" s="185" customFormat="1" ht="12.75" customHeight="1">
      <c r="A20" s="349"/>
      <c r="B20" s="184"/>
      <c r="C20" s="346"/>
      <c r="D20" s="346"/>
      <c r="E20" s="346"/>
      <c r="F20" s="346"/>
      <c r="G20" s="346"/>
      <c r="H20" s="347"/>
      <c r="I20" s="346"/>
      <c r="J20" s="346"/>
      <c r="K20" s="345" t="s">
        <v>356</v>
      </c>
      <c r="L20" s="844"/>
      <c r="M20" s="844"/>
      <c r="N20" s="346"/>
      <c r="O20" s="345" t="s">
        <v>43</v>
      </c>
      <c r="P20" s="844"/>
      <c r="Q20" s="844"/>
      <c r="R20" s="325"/>
      <c r="S20" s="346"/>
      <c r="T20" s="346"/>
      <c r="U20" s="350" t="s">
        <v>482</v>
      </c>
      <c r="V20" s="851"/>
      <c r="W20" s="851"/>
      <c r="X20" s="673"/>
      <c r="Y20" s="325"/>
      <c r="Z20" s="326" t="s">
        <v>236</v>
      </c>
      <c r="AA20" s="351"/>
      <c r="AB20" s="17"/>
    </row>
    <row r="21" spans="1:29" s="234" customFormat="1" ht="12.75" customHeight="1">
      <c r="A21" s="8"/>
      <c r="B21" s="184"/>
      <c r="C21" s="346"/>
      <c r="D21" s="346"/>
      <c r="E21" s="352"/>
      <c r="F21" s="346"/>
      <c r="G21" s="346"/>
      <c r="H21" s="346"/>
      <c r="I21" s="346"/>
      <c r="J21" s="346"/>
      <c r="K21" s="345" t="s">
        <v>375</v>
      </c>
      <c r="L21" s="844"/>
      <c r="M21" s="844"/>
      <c r="N21" s="346"/>
      <c r="O21" s="345" t="s">
        <v>43</v>
      </c>
      <c r="P21" s="844"/>
      <c r="Q21" s="844"/>
      <c r="R21" s="325"/>
      <c r="S21" s="344"/>
      <c r="T21" s="346"/>
      <c r="U21" s="350" t="s">
        <v>357</v>
      </c>
      <c r="V21" s="851"/>
      <c r="W21" s="851"/>
      <c r="X21" s="673"/>
      <c r="Y21" s="325"/>
      <c r="Z21" s="326" t="s">
        <v>237</v>
      </c>
      <c r="AA21" s="351"/>
      <c r="AB21" s="410"/>
      <c r="AC21" s="185"/>
    </row>
    <row r="22" spans="1:29" s="178" customFormat="1" ht="2.25" customHeight="1">
      <c r="A22" s="177"/>
      <c r="B22" s="198"/>
      <c r="C22" s="199"/>
      <c r="D22" s="199"/>
      <c r="E22" s="199"/>
      <c r="F22" s="411"/>
      <c r="G22" s="199"/>
      <c r="H22" s="411"/>
      <c r="I22" s="411"/>
      <c r="J22" s="199"/>
      <c r="K22" s="199"/>
      <c r="L22" s="199"/>
      <c r="M22" s="200"/>
      <c r="N22" s="412"/>
      <c r="O22" s="412"/>
      <c r="P22" s="412"/>
      <c r="Q22" s="199"/>
      <c r="R22" s="199"/>
      <c r="S22" s="199"/>
      <c r="T22" s="199"/>
      <c r="U22" s="199"/>
      <c r="V22" s="411"/>
      <c r="W22" s="411"/>
      <c r="X22" s="201"/>
      <c r="Y22" s="201"/>
      <c r="Z22" s="411"/>
      <c r="AA22" s="411"/>
      <c r="AB22" s="202"/>
      <c r="AC22" s="177"/>
    </row>
    <row r="23" spans="2:28" s="2" customFormat="1" ht="12.75" customHeight="1">
      <c r="B23" s="650"/>
      <c r="C23" s="632" t="s">
        <v>261</v>
      </c>
      <c r="D23" s="651"/>
      <c r="E23" s="651"/>
      <c r="F23" s="651"/>
      <c r="G23" s="651"/>
      <c r="H23" s="651"/>
      <c r="I23" s="652"/>
      <c r="J23" s="653"/>
      <c r="K23" s="653"/>
      <c r="L23" s="653"/>
      <c r="M23" s="653"/>
      <c r="N23" s="653"/>
      <c r="O23" s="653"/>
      <c r="P23" s="653"/>
      <c r="Q23" s="653"/>
      <c r="R23" s="653"/>
      <c r="S23" s="653"/>
      <c r="T23" s="653"/>
      <c r="U23" s="653"/>
      <c r="V23" s="653"/>
      <c r="W23" s="653"/>
      <c r="X23" s="653"/>
      <c r="Y23" s="653"/>
      <c r="Z23" s="653"/>
      <c r="AA23" s="653"/>
      <c r="AB23" s="654"/>
    </row>
    <row r="24" spans="2:28" s="2" customFormat="1" ht="2.25" customHeight="1">
      <c r="B24" s="127"/>
      <c r="C24" s="124"/>
      <c r="D24" s="7"/>
      <c r="E24" s="7"/>
      <c r="F24" s="413"/>
      <c r="G24" s="413"/>
      <c r="H24" s="413"/>
      <c r="I24" s="413"/>
      <c r="J24" s="413"/>
      <c r="K24" s="413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3"/>
    </row>
    <row r="25" spans="1:29" s="179" customFormat="1" ht="12.75" customHeight="1">
      <c r="A25" s="113"/>
      <c r="B25" s="338"/>
      <c r="C25" s="328"/>
      <c r="D25" s="328"/>
      <c r="E25" s="497" t="s">
        <v>436</v>
      </c>
      <c r="F25" s="852"/>
      <c r="G25" s="852"/>
      <c r="H25" s="852"/>
      <c r="I25" s="852"/>
      <c r="J25" s="852"/>
      <c r="K25" s="852"/>
      <c r="L25" s="328"/>
      <c r="M25" s="328"/>
      <c r="N25" s="319" t="s">
        <v>104</v>
      </c>
      <c r="O25" s="886"/>
      <c r="P25" s="886"/>
      <c r="Q25" s="886"/>
      <c r="R25" s="886"/>
      <c r="S25" s="328"/>
      <c r="T25" s="331" t="s">
        <v>254</v>
      </c>
      <c r="U25" s="876"/>
      <c r="V25" s="876"/>
      <c r="W25" s="328"/>
      <c r="X25" s="328"/>
      <c r="Y25" s="331" t="s">
        <v>251</v>
      </c>
      <c r="Z25" s="852"/>
      <c r="AA25" s="852"/>
      <c r="AB25" s="113"/>
      <c r="AC25" s="7"/>
    </row>
    <row r="26" spans="2:29" s="179" customFormat="1" ht="12.75" customHeight="1">
      <c r="B26" s="329"/>
      <c r="C26" s="328"/>
      <c r="D26" s="330"/>
      <c r="E26" s="330"/>
      <c r="F26" s="328"/>
      <c r="G26" s="497" t="s">
        <v>477</v>
      </c>
      <c r="H26" s="877"/>
      <c r="I26" s="877"/>
      <c r="J26" s="877"/>
      <c r="K26" s="877"/>
      <c r="L26" s="877"/>
      <c r="M26" s="328"/>
      <c r="N26" s="321" t="s">
        <v>348</v>
      </c>
      <c r="O26" s="852"/>
      <c r="P26" s="852"/>
      <c r="Q26" s="343"/>
      <c r="R26" s="328" t="s">
        <v>159</v>
      </c>
      <c r="S26" s="328"/>
      <c r="T26" s="331" t="s">
        <v>347</v>
      </c>
      <c r="U26" s="876"/>
      <c r="V26" s="876"/>
      <c r="W26" s="328"/>
      <c r="X26" s="406"/>
      <c r="Y26" s="319" t="s">
        <v>346</v>
      </c>
      <c r="Z26" s="876"/>
      <c r="AA26" s="876"/>
      <c r="AB26" s="113"/>
      <c r="AC26" s="7"/>
    </row>
    <row r="27" spans="2:29" s="179" customFormat="1" ht="12.75" customHeight="1">
      <c r="B27" s="329"/>
      <c r="C27" s="328"/>
      <c r="D27" s="330"/>
      <c r="E27" s="330"/>
      <c r="F27" s="328"/>
      <c r="G27" s="321" t="s">
        <v>519</v>
      </c>
      <c r="H27" s="852"/>
      <c r="I27" s="852"/>
      <c r="J27" s="852"/>
      <c r="K27" s="852"/>
      <c r="L27" s="328"/>
      <c r="M27" s="328"/>
      <c r="N27" s="321" t="s">
        <v>349</v>
      </c>
      <c r="O27" s="885"/>
      <c r="P27" s="885"/>
      <c r="Q27" s="885"/>
      <c r="R27" s="328"/>
      <c r="S27" s="328"/>
      <c r="T27" s="331" t="s">
        <v>119</v>
      </c>
      <c r="U27" s="416"/>
      <c r="V27" s="328" t="s">
        <v>96</v>
      </c>
      <c r="W27" s="340"/>
      <c r="X27" s="328"/>
      <c r="Y27" s="321" t="s">
        <v>32</v>
      </c>
      <c r="Z27" s="886"/>
      <c r="AA27" s="886"/>
      <c r="AB27" s="113"/>
      <c r="AC27" s="7"/>
    </row>
    <row r="28" spans="2:29" s="179" customFormat="1" ht="12.75" customHeight="1">
      <c r="B28" s="329"/>
      <c r="C28" s="328"/>
      <c r="D28" s="328"/>
      <c r="E28" s="328"/>
      <c r="F28" s="328"/>
      <c r="G28" s="321" t="s">
        <v>350</v>
      </c>
      <c r="H28" s="877"/>
      <c r="I28" s="877"/>
      <c r="J28" s="877"/>
      <c r="K28" s="877"/>
      <c r="L28" s="328"/>
      <c r="M28" s="328"/>
      <c r="N28" s="331" t="s">
        <v>260</v>
      </c>
      <c r="O28" s="876"/>
      <c r="P28" s="876"/>
      <c r="Q28" s="885"/>
      <c r="R28" s="885"/>
      <c r="S28" s="885"/>
      <c r="T28" s="885"/>
      <c r="V28" s="328"/>
      <c r="Y28" s="321" t="s">
        <v>31</v>
      </c>
      <c r="Z28" s="876"/>
      <c r="AA28" s="876"/>
      <c r="AB28" s="113"/>
      <c r="AC28" s="7"/>
    </row>
    <row r="29" spans="2:28" s="51" customFormat="1" ht="12.75" customHeight="1">
      <c r="B29" s="334"/>
      <c r="C29" s="318"/>
      <c r="D29" s="318"/>
      <c r="E29" s="324" t="s">
        <v>259</v>
      </c>
      <c r="F29" s="281"/>
      <c r="G29" s="281"/>
      <c r="H29" s="281"/>
      <c r="J29" s="421" t="s">
        <v>520</v>
      </c>
      <c r="K29" s="853"/>
      <c r="L29" s="853"/>
      <c r="M29" s="353" t="s">
        <v>33</v>
      </c>
      <c r="N29" s="328"/>
      <c r="O29" s="331" t="s">
        <v>34</v>
      </c>
      <c r="P29" s="573"/>
      <c r="Q29" s="320" t="s">
        <v>33</v>
      </c>
      <c r="R29" s="324"/>
      <c r="S29" s="324" t="s">
        <v>434</v>
      </c>
      <c r="T29" s="420"/>
      <c r="U29" s="320" t="s">
        <v>33</v>
      </c>
      <c r="V29" s="346"/>
      <c r="W29" s="331" t="s">
        <v>351</v>
      </c>
      <c r="X29" s="578"/>
      <c r="Y29" s="335" t="s">
        <v>35</v>
      </c>
      <c r="Z29" s="573"/>
      <c r="AA29" s="354" t="s">
        <v>33</v>
      </c>
      <c r="AB29" s="16"/>
    </row>
    <row r="30" spans="2:28" s="51" customFormat="1" ht="12.75" customHeight="1">
      <c r="B30" s="327"/>
      <c r="C30" s="336"/>
      <c r="D30" s="336"/>
      <c r="E30" s="336"/>
      <c r="F30" s="497" t="s">
        <v>437</v>
      </c>
      <c r="G30" s="852"/>
      <c r="H30" s="852"/>
      <c r="I30" s="852"/>
      <c r="J30" s="852"/>
      <c r="K30" s="336"/>
      <c r="L30" s="321" t="s">
        <v>160</v>
      </c>
      <c r="M30" s="852"/>
      <c r="N30" s="852"/>
      <c r="O30" s="852"/>
      <c r="P30" s="852"/>
      <c r="R30" s="324" t="s">
        <v>435</v>
      </c>
      <c r="S30" s="573"/>
      <c r="U30" s="319" t="s">
        <v>161</v>
      </c>
      <c r="V30" s="847"/>
      <c r="W30" s="847"/>
      <c r="X30" s="847"/>
      <c r="Y30" s="847"/>
      <c r="Z30" s="847"/>
      <c r="AA30" s="847"/>
      <c r="AB30" s="16"/>
    </row>
    <row r="31" spans="1:28" s="51" customFormat="1" ht="12.75" customHeight="1">
      <c r="A31" s="2"/>
      <c r="B31" s="15"/>
      <c r="F31" s="319" t="s">
        <v>200</v>
      </c>
      <c r="G31" s="877"/>
      <c r="H31" s="877"/>
      <c r="I31" s="877"/>
      <c r="J31" s="877"/>
      <c r="M31" s="319" t="s">
        <v>89</v>
      </c>
      <c r="N31" s="877"/>
      <c r="O31" s="877"/>
      <c r="P31" s="877"/>
      <c r="S31" s="319" t="s">
        <v>36</v>
      </c>
      <c r="T31" s="877"/>
      <c r="U31" s="877"/>
      <c r="V31" s="877"/>
      <c r="W31" s="881"/>
      <c r="X31" s="881"/>
      <c r="Y31" s="881"/>
      <c r="Z31" s="877"/>
      <c r="AA31" s="877"/>
      <c r="AB31" s="16"/>
    </row>
    <row r="32" spans="2:28" s="51" customFormat="1" ht="12.75" customHeight="1">
      <c r="B32" s="15"/>
      <c r="C32" s="281"/>
      <c r="D32" s="328"/>
      <c r="E32" s="328"/>
      <c r="F32" s="321" t="s">
        <v>521</v>
      </c>
      <c r="G32" s="877"/>
      <c r="H32" s="877"/>
      <c r="I32" s="877"/>
      <c r="J32" s="877"/>
      <c r="K32" s="877"/>
      <c r="L32" s="877"/>
      <c r="M32" s="877"/>
      <c r="N32" s="877"/>
      <c r="O32" s="335" t="s">
        <v>35</v>
      </c>
      <c r="P32" s="418"/>
      <c r="Q32" s="281" t="s">
        <v>33</v>
      </c>
      <c r="R32" s="335" t="s">
        <v>255</v>
      </c>
      <c r="S32" s="877"/>
      <c r="T32" s="877"/>
      <c r="U32" s="877"/>
      <c r="V32" s="877"/>
      <c r="W32" s="877"/>
      <c r="X32" s="877"/>
      <c r="Y32" s="335" t="s">
        <v>35</v>
      </c>
      <c r="Z32" s="418"/>
      <c r="AA32" s="354" t="s">
        <v>33</v>
      </c>
      <c r="AB32" s="16"/>
    </row>
    <row r="33" spans="1:29" s="179" customFormat="1" ht="12.75" customHeight="1">
      <c r="A33" s="7"/>
      <c r="B33" s="332"/>
      <c r="C33" s="330"/>
      <c r="D33" s="328"/>
      <c r="E33" s="328"/>
      <c r="F33" s="331" t="s">
        <v>128</v>
      </c>
      <c r="G33" s="877"/>
      <c r="H33" s="877"/>
      <c r="I33" s="877"/>
      <c r="J33" s="877"/>
      <c r="K33" s="330"/>
      <c r="L33" s="330"/>
      <c r="M33" s="321" t="s">
        <v>522</v>
      </c>
      <c r="N33" s="886"/>
      <c r="O33" s="886"/>
      <c r="P33" s="886"/>
      <c r="Q33" s="328"/>
      <c r="S33" s="331" t="s">
        <v>253</v>
      </c>
      <c r="T33" s="883"/>
      <c r="U33" s="883"/>
      <c r="V33" s="883"/>
      <c r="W33" s="328"/>
      <c r="Y33" s="321" t="s">
        <v>169</v>
      </c>
      <c r="Z33" s="419"/>
      <c r="AA33" s="333" t="s">
        <v>33</v>
      </c>
      <c r="AB33" s="113"/>
      <c r="AC33" s="7"/>
    </row>
    <row r="34" spans="2:28" s="181" customFormat="1" ht="19.5" customHeight="1">
      <c r="B34" s="797" t="s">
        <v>523</v>
      </c>
      <c r="C34" s="414"/>
      <c r="D34" s="322"/>
      <c r="E34" s="337"/>
      <c r="F34" s="798" t="s">
        <v>117</v>
      </c>
      <c r="G34" s="882"/>
      <c r="H34" s="882"/>
      <c r="I34" s="882"/>
      <c r="J34" s="882"/>
      <c r="K34" s="882"/>
      <c r="L34" s="882"/>
      <c r="M34" s="882"/>
      <c r="N34" s="882"/>
      <c r="O34" s="882"/>
      <c r="P34" s="882"/>
      <c r="Q34" s="882"/>
      <c r="R34" s="882"/>
      <c r="S34" s="882"/>
      <c r="T34" s="882"/>
      <c r="U34" s="882"/>
      <c r="V34" s="882"/>
      <c r="W34" s="882"/>
      <c r="X34" s="882"/>
      <c r="Y34" s="882"/>
      <c r="Z34" s="882"/>
      <c r="AA34" s="882"/>
      <c r="AB34" s="182"/>
    </row>
    <row r="35" spans="1:29" s="51" customFormat="1" ht="2.25" customHeight="1">
      <c r="A35" s="2"/>
      <c r="B35" s="196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9"/>
      <c r="AC35" s="2"/>
    </row>
    <row r="36" spans="1:29" ht="12.75" customHeight="1">
      <c r="A36" s="23"/>
      <c r="B36" s="640"/>
      <c r="C36" s="641" t="s">
        <v>262</v>
      </c>
      <c r="D36" s="642"/>
      <c r="E36" s="642"/>
      <c r="F36" s="642"/>
      <c r="G36" s="642"/>
      <c r="H36" s="642"/>
      <c r="I36" s="643"/>
      <c r="J36" s="644"/>
      <c r="K36" s="644"/>
      <c r="L36" s="644"/>
      <c r="M36" s="644"/>
      <c r="N36" s="644"/>
      <c r="O36" s="644"/>
      <c r="P36" s="644"/>
      <c r="Q36" s="644"/>
      <c r="R36" s="644"/>
      <c r="S36" s="644"/>
      <c r="T36" s="645"/>
      <c r="U36" s="645"/>
      <c r="V36" s="645"/>
      <c r="W36" s="646"/>
      <c r="X36" s="647"/>
      <c r="Y36" s="647"/>
      <c r="Z36" s="647"/>
      <c r="AA36" s="648"/>
      <c r="AB36" s="649"/>
      <c r="AC36" s="23"/>
    </row>
    <row r="37" spans="1:29" ht="2.25" customHeight="1">
      <c r="A37" s="23"/>
      <c r="B37" s="127"/>
      <c r="C37" s="124"/>
      <c r="D37" s="7"/>
      <c r="E37" s="7"/>
      <c r="F37" s="40"/>
      <c r="G37" s="40"/>
      <c r="H37" s="40"/>
      <c r="I37" s="183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6"/>
      <c r="AC37" s="23"/>
    </row>
    <row r="38" spans="1:29" s="51" customFormat="1" ht="12.75" customHeight="1">
      <c r="A38" s="2"/>
      <c r="B38" s="15"/>
      <c r="C38" s="318"/>
      <c r="D38" s="422"/>
      <c r="E38" s="319" t="s">
        <v>353</v>
      </c>
      <c r="F38" s="852"/>
      <c r="G38" s="852"/>
      <c r="H38" s="852"/>
      <c r="I38" s="852"/>
      <c r="J38" s="318"/>
      <c r="K38" s="318"/>
      <c r="L38" s="318"/>
      <c r="M38" s="318"/>
      <c r="N38" s="355" t="s">
        <v>433</v>
      </c>
      <c r="O38" s="574"/>
      <c r="P38" s="318"/>
      <c r="Q38" s="281"/>
      <c r="R38" s="281"/>
      <c r="S38" s="281"/>
      <c r="T38" s="319" t="s">
        <v>352</v>
      </c>
      <c r="U38" s="876"/>
      <c r="V38" s="876"/>
      <c r="W38" s="876"/>
      <c r="X38" s="318"/>
      <c r="Y38" s="324" t="s">
        <v>182</v>
      </c>
      <c r="Z38" s="498"/>
      <c r="AA38" s="499" t="s">
        <v>33</v>
      </c>
      <c r="AB38" s="16"/>
      <c r="AC38" s="7"/>
    </row>
    <row r="39" spans="1:29" s="179" customFormat="1" ht="12.75" customHeight="1">
      <c r="A39" s="7"/>
      <c r="B39" s="486" t="s">
        <v>438</v>
      </c>
      <c r="C39" s="538"/>
      <c r="D39" s="423"/>
      <c r="F39" s="423"/>
      <c r="G39" s="321"/>
      <c r="H39" s="867"/>
      <c r="I39" s="867"/>
      <c r="J39" s="867"/>
      <c r="K39" s="867"/>
      <c r="L39" s="867"/>
      <c r="M39" s="333"/>
      <c r="N39" s="356" t="s">
        <v>168</v>
      </c>
      <c r="O39" s="575"/>
      <c r="P39" s="423"/>
      <c r="Q39" s="423"/>
      <c r="R39" s="424" t="s">
        <v>123</v>
      </c>
      <c r="S39" s="575"/>
      <c r="T39" s="333"/>
      <c r="U39" s="356" t="s">
        <v>418</v>
      </c>
      <c r="V39" s="876"/>
      <c r="W39" s="876"/>
      <c r="Y39" s="356" t="s">
        <v>348</v>
      </c>
      <c r="Z39" s="506"/>
      <c r="AA39" s="507" t="s">
        <v>159</v>
      </c>
      <c r="AB39" s="113"/>
      <c r="AC39" s="7"/>
    </row>
    <row r="40" spans="2:28" s="181" customFormat="1" ht="19.5" customHeight="1">
      <c r="B40" s="415"/>
      <c r="C40" s="414"/>
      <c r="D40" s="322"/>
      <c r="E40" s="337"/>
      <c r="F40" s="798" t="s">
        <v>117</v>
      </c>
      <c r="G40" s="882"/>
      <c r="H40" s="882"/>
      <c r="I40" s="882"/>
      <c r="J40" s="882"/>
      <c r="K40" s="882"/>
      <c r="L40" s="882"/>
      <c r="M40" s="882"/>
      <c r="N40" s="882"/>
      <c r="O40" s="882"/>
      <c r="P40" s="882"/>
      <c r="Q40" s="882"/>
      <c r="R40" s="882"/>
      <c r="S40" s="882"/>
      <c r="T40" s="882"/>
      <c r="U40" s="882"/>
      <c r="V40" s="882"/>
      <c r="W40" s="882"/>
      <c r="X40" s="882"/>
      <c r="Y40" s="882"/>
      <c r="Z40" s="882"/>
      <c r="AA40" s="882"/>
      <c r="AB40" s="182"/>
    </row>
    <row r="41" spans="1:29" s="50" customFormat="1" ht="2.25" customHeight="1">
      <c r="A41" s="26"/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24"/>
      <c r="AC41" s="203"/>
    </row>
    <row r="42" spans="2:29" s="97" customFormat="1" ht="12.75" customHeight="1">
      <c r="B42" s="631"/>
      <c r="C42" s="632" t="s">
        <v>11</v>
      </c>
      <c r="D42" s="633"/>
      <c r="E42" s="633"/>
      <c r="F42" s="633"/>
      <c r="G42" s="633"/>
      <c r="H42" s="633"/>
      <c r="I42" s="633"/>
      <c r="J42" s="633"/>
      <c r="K42" s="633"/>
      <c r="L42" s="633"/>
      <c r="M42" s="635" t="s">
        <v>94</v>
      </c>
      <c r="N42" s="635"/>
      <c r="O42" s="635" t="s">
        <v>95</v>
      </c>
      <c r="P42" s="635"/>
      <c r="Q42" s="635" t="s">
        <v>181</v>
      </c>
      <c r="R42" s="635"/>
      <c r="S42" s="635"/>
      <c r="T42" s="636" t="s">
        <v>93</v>
      </c>
      <c r="U42" s="637" t="s">
        <v>12</v>
      </c>
      <c r="V42" s="637" t="s">
        <v>164</v>
      </c>
      <c r="W42" s="880" t="s">
        <v>13</v>
      </c>
      <c r="X42" s="880"/>
      <c r="Y42" s="880" t="s">
        <v>14</v>
      </c>
      <c r="Z42" s="880"/>
      <c r="AA42" s="880"/>
      <c r="AB42" s="639"/>
      <c r="AC42" s="98"/>
    </row>
    <row r="43" spans="2:28" s="65" customFormat="1" ht="12.75" customHeight="1">
      <c r="B43" s="236"/>
      <c r="C43" s="123" t="s">
        <v>15</v>
      </c>
      <c r="D43" s="237"/>
      <c r="E43" s="80"/>
      <c r="F43" s="855"/>
      <c r="G43" s="902"/>
      <c r="H43" s="902"/>
      <c r="I43" s="902"/>
      <c r="J43" s="902"/>
      <c r="K43" s="902"/>
      <c r="L43" s="903"/>
      <c r="M43" s="894"/>
      <c r="N43" s="895"/>
      <c r="O43" s="896"/>
      <c r="P43" s="895"/>
      <c r="Q43" s="899"/>
      <c r="R43" s="900"/>
      <c r="S43" s="901"/>
      <c r="T43" s="859"/>
      <c r="U43" s="576" t="s">
        <v>16</v>
      </c>
      <c r="V43" s="862"/>
      <c r="W43" s="897">
        <f>IF(OR(V43=0,$G$53=0),0,ROUND(V43*$G$53,0))</f>
        <v>0</v>
      </c>
      <c r="X43" s="898"/>
      <c r="Y43" s="577" t="s">
        <v>17</v>
      </c>
      <c r="Z43" s="878">
        <f>ROUND(W43*T43,-4)</f>
        <v>0</v>
      </c>
      <c r="AA43" s="879"/>
      <c r="AB43" s="242"/>
    </row>
    <row r="44" spans="2:28" s="65" customFormat="1" ht="12.75" customHeight="1">
      <c r="B44" s="238"/>
      <c r="C44" s="500" t="s">
        <v>18</v>
      </c>
      <c r="D44" s="501"/>
      <c r="E44" s="502"/>
      <c r="F44" s="502"/>
      <c r="G44" s="502"/>
      <c r="H44" s="501"/>
      <c r="I44" s="501"/>
      <c r="J44" s="501"/>
      <c r="K44" s="503" t="s">
        <v>19</v>
      </c>
      <c r="L44" s="503" t="s">
        <v>20</v>
      </c>
      <c r="M44" s="503" t="s">
        <v>22</v>
      </c>
      <c r="N44" s="504" t="s">
        <v>252</v>
      </c>
      <c r="O44" s="503" t="s">
        <v>23</v>
      </c>
      <c r="P44" s="503" t="s">
        <v>419</v>
      </c>
      <c r="Q44" s="503" t="s">
        <v>420</v>
      </c>
      <c r="R44" s="505" t="s">
        <v>183</v>
      </c>
      <c r="S44" s="503" t="s">
        <v>21</v>
      </c>
      <c r="T44" s="239"/>
      <c r="U44" s="239"/>
      <c r="V44" s="541"/>
      <c r="W44" s="542"/>
      <c r="X44" s="543"/>
      <c r="Y44" s="240"/>
      <c r="Z44" s="241"/>
      <c r="AB44" s="242"/>
    </row>
    <row r="45" spans="2:31" s="65" customFormat="1" ht="12.75" customHeight="1">
      <c r="B45" s="122">
        <v>1</v>
      </c>
      <c r="C45" s="904"/>
      <c r="D45" s="905"/>
      <c r="E45" s="905"/>
      <c r="F45" s="905"/>
      <c r="G45" s="905"/>
      <c r="H45" s="905"/>
      <c r="I45" s="905"/>
      <c r="J45" s="906"/>
      <c r="K45" s="544"/>
      <c r="L45" s="544"/>
      <c r="M45" s="547"/>
      <c r="N45" s="548"/>
      <c r="O45" s="544"/>
      <c r="P45" s="549">
        <v>1</v>
      </c>
      <c r="Q45" s="549">
        <v>1</v>
      </c>
      <c r="R45" s="562">
        <f>Edificaciones!Z19/100</f>
        <v>0</v>
      </c>
      <c r="S45" s="544"/>
      <c r="T45" s="860"/>
      <c r="U45" s="550" t="s">
        <v>16</v>
      </c>
      <c r="V45" s="732">
        <f>Edificaciones!AJ19</f>
        <v>0</v>
      </c>
      <c r="W45" s="924">
        <f>IF(OR(V45=0,$G$53=0),0,ROUND(V45*$G$53,0))</f>
        <v>0</v>
      </c>
      <c r="X45" s="925"/>
      <c r="Y45" s="551" t="s">
        <v>17</v>
      </c>
      <c r="Z45" s="926">
        <f>ROUND(W45*T45,-4)</f>
        <v>0</v>
      </c>
      <c r="AA45" s="926"/>
      <c r="AB45" s="106"/>
      <c r="AE45" s="778">
        <f>IF(U45="m2",T45,0)</f>
        <v>0</v>
      </c>
    </row>
    <row r="46" spans="2:31" s="65" customFormat="1" ht="12.75" customHeight="1">
      <c r="B46" s="118">
        <v>2</v>
      </c>
      <c r="C46" s="868"/>
      <c r="D46" s="869"/>
      <c r="E46" s="869"/>
      <c r="F46" s="869"/>
      <c r="G46" s="869"/>
      <c r="H46" s="869"/>
      <c r="I46" s="869"/>
      <c r="J46" s="870"/>
      <c r="K46" s="545"/>
      <c r="L46" s="545"/>
      <c r="M46" s="547"/>
      <c r="N46" s="548"/>
      <c r="O46" s="545"/>
      <c r="P46" s="552">
        <v>1</v>
      </c>
      <c r="Q46" s="552">
        <v>1</v>
      </c>
      <c r="R46" s="590">
        <f>Edificaciones!Z35/100</f>
        <v>0</v>
      </c>
      <c r="S46" s="545"/>
      <c r="T46" s="861"/>
      <c r="U46" s="548" t="s">
        <v>16</v>
      </c>
      <c r="V46" s="733">
        <f>Edificaciones!AJ35</f>
        <v>0</v>
      </c>
      <c r="W46" s="892">
        <f>IF(OR(V46=0,$G$53=0),0,ROUND(V46*$G$53,0))</f>
        <v>0</v>
      </c>
      <c r="X46" s="893"/>
      <c r="Y46" s="553" t="s">
        <v>17</v>
      </c>
      <c r="Z46" s="908">
        <f>ROUND(W46*T46,-4)</f>
        <v>0</v>
      </c>
      <c r="AA46" s="908"/>
      <c r="AB46" s="559"/>
      <c r="AE46" s="778">
        <f>IF(U46="m2",T46,0)</f>
        <v>0</v>
      </c>
    </row>
    <row r="47" spans="2:31" s="65" customFormat="1" ht="12.75" customHeight="1">
      <c r="B47" s="118">
        <v>3</v>
      </c>
      <c r="C47" s="868"/>
      <c r="D47" s="869"/>
      <c r="E47" s="869"/>
      <c r="F47" s="869"/>
      <c r="G47" s="869"/>
      <c r="H47" s="869"/>
      <c r="I47" s="869"/>
      <c r="J47" s="870"/>
      <c r="K47" s="545"/>
      <c r="L47" s="545"/>
      <c r="M47" s="547"/>
      <c r="N47" s="548"/>
      <c r="O47" s="545"/>
      <c r="P47" s="552">
        <v>1</v>
      </c>
      <c r="Q47" s="552">
        <v>1</v>
      </c>
      <c r="R47" s="590">
        <f>Edificaciones!Z49/100</f>
        <v>0</v>
      </c>
      <c r="S47" s="545"/>
      <c r="T47" s="861"/>
      <c r="U47" s="548" t="s">
        <v>16</v>
      </c>
      <c r="V47" s="733">
        <f>Edificaciones!AJ49</f>
        <v>0</v>
      </c>
      <c r="W47" s="892">
        <f>IF(OR(V47=0,$G$53=0),0,ROUND(V47*$G$53,0))</f>
        <v>0</v>
      </c>
      <c r="X47" s="893"/>
      <c r="Y47" s="553" t="s">
        <v>17</v>
      </c>
      <c r="Z47" s="908">
        <f>ROUND(W47*T47,-4)</f>
        <v>0</v>
      </c>
      <c r="AA47" s="908"/>
      <c r="AB47" s="559"/>
      <c r="AE47" s="778">
        <f>IF(U47="m2",T47,0)</f>
        <v>0</v>
      </c>
    </row>
    <row r="48" spans="2:31" s="65" customFormat="1" ht="12.75" customHeight="1">
      <c r="B48" s="118">
        <v>4</v>
      </c>
      <c r="C48" s="868"/>
      <c r="D48" s="869"/>
      <c r="E48" s="869"/>
      <c r="F48" s="869"/>
      <c r="G48" s="869"/>
      <c r="H48" s="869"/>
      <c r="I48" s="869"/>
      <c r="J48" s="870"/>
      <c r="K48" s="545"/>
      <c r="L48" s="545"/>
      <c r="M48" s="547"/>
      <c r="N48" s="548"/>
      <c r="O48" s="545"/>
      <c r="P48" s="552">
        <v>1</v>
      </c>
      <c r="Q48" s="552">
        <v>1</v>
      </c>
      <c r="R48" s="590">
        <f>Edificaciones!Z63</f>
        <v>0</v>
      </c>
      <c r="S48" s="545"/>
      <c r="T48" s="861"/>
      <c r="U48" s="548" t="s">
        <v>16</v>
      </c>
      <c r="V48" s="733">
        <f>Edificaciones!AJ63</f>
        <v>0</v>
      </c>
      <c r="W48" s="892">
        <f>IF(OR(V48=0,$G$53=0),0,ROUND(V48*$G$53,0))</f>
        <v>0</v>
      </c>
      <c r="X48" s="893"/>
      <c r="Y48" s="553" t="s">
        <v>17</v>
      </c>
      <c r="Z48" s="908">
        <f>ROUND(W48*T48,-4)</f>
        <v>0</v>
      </c>
      <c r="AA48" s="908"/>
      <c r="AB48" s="559"/>
      <c r="AE48" s="778">
        <f>IF(U48="m2",T48,0)</f>
        <v>0</v>
      </c>
    </row>
    <row r="49" spans="2:31" s="65" customFormat="1" ht="12.75" customHeight="1">
      <c r="B49" s="723">
        <v>5</v>
      </c>
      <c r="C49" s="873" t="s">
        <v>493</v>
      </c>
      <c r="D49" s="874"/>
      <c r="E49" s="874"/>
      <c r="F49" s="874"/>
      <c r="G49" s="874"/>
      <c r="H49" s="874"/>
      <c r="I49" s="874"/>
      <c r="J49" s="875"/>
      <c r="K49" s="724" t="s">
        <v>222</v>
      </c>
      <c r="L49" s="724"/>
      <c r="M49" s="725"/>
      <c r="N49" s="726"/>
      <c r="O49" s="724"/>
      <c r="P49" s="727">
        <v>1</v>
      </c>
      <c r="Q49" s="727">
        <v>1</v>
      </c>
      <c r="R49" s="728"/>
      <c r="S49" s="724"/>
      <c r="T49" s="729"/>
      <c r="U49" s="726" t="s">
        <v>16</v>
      </c>
      <c r="V49" s="729"/>
      <c r="W49" s="913">
        <f>IF(OR(V49=0,$G$53=0),0,ROUND(V49*$G$53,0))</f>
        <v>0</v>
      </c>
      <c r="X49" s="914"/>
      <c r="Y49" s="730" t="s">
        <v>17</v>
      </c>
      <c r="Z49" s="928">
        <f>ROUND(W49*T49,-4)</f>
        <v>0</v>
      </c>
      <c r="AA49" s="928"/>
      <c r="AB49" s="731"/>
      <c r="AC49" s="777"/>
      <c r="AE49" s="778">
        <f>IF(U49="m2",T49,0)</f>
        <v>0</v>
      </c>
    </row>
    <row r="50" spans="2:31" s="65" customFormat="1" ht="12.75" customHeight="1">
      <c r="B50" s="119"/>
      <c r="C50" s="915" t="s">
        <v>429</v>
      </c>
      <c r="D50" s="916"/>
      <c r="E50" s="916"/>
      <c r="F50" s="916"/>
      <c r="G50" s="916"/>
      <c r="H50" s="916"/>
      <c r="I50" s="916"/>
      <c r="J50" s="917"/>
      <c r="K50" s="865" t="s">
        <v>452</v>
      </c>
      <c r="L50" s="866"/>
      <c r="M50" s="918"/>
      <c r="N50" s="919"/>
      <c r="O50" s="919"/>
      <c r="P50" s="919"/>
      <c r="Q50" s="919"/>
      <c r="R50" s="920"/>
      <c r="S50" s="546"/>
      <c r="T50" s="546">
        <v>1</v>
      </c>
      <c r="U50" s="546" t="s">
        <v>24</v>
      </c>
      <c r="V50" s="863"/>
      <c r="W50" s="930">
        <f>IF(OR(V50=0,$G$53=0,K50="Ninguna"),0,ROUND(V50*$G$53,0))</f>
        <v>0</v>
      </c>
      <c r="X50" s="931"/>
      <c r="Y50" s="554" t="s">
        <v>17</v>
      </c>
      <c r="Z50" s="908">
        <f>IF(K50&lt;&gt;"Ninguna",IF(K50&lt;&gt;"S/listado",ROUND((Z45+Z46+Z47+Z49)*Edificaciones!$AI$70,-4),ROUND(W50*T50,-4)),0)</f>
        <v>0</v>
      </c>
      <c r="AA50" s="908"/>
      <c r="AB50" s="560"/>
      <c r="AC50" s="777"/>
      <c r="AE50" s="785">
        <f>SUM(AE45:AE49)</f>
        <v>0</v>
      </c>
    </row>
    <row r="51" spans="2:28" s="65" customFormat="1" ht="14.25" customHeight="1" thickBot="1">
      <c r="B51" s="289"/>
      <c r="C51" s="130"/>
      <c r="D51" s="131"/>
      <c r="E51" s="132"/>
      <c r="F51" s="132"/>
      <c r="G51" s="132"/>
      <c r="H51" s="131"/>
      <c r="I51" s="131"/>
      <c r="J51" s="131"/>
      <c r="K51" s="425"/>
      <c r="L51" s="425"/>
      <c r="M51" s="425"/>
      <c r="N51" s="425"/>
      <c r="O51" s="426"/>
      <c r="P51" s="427"/>
      <c r="Q51" s="425"/>
      <c r="S51" s="781">
        <f>IF(T51&gt;0,"Superficie edificada =",0)</f>
        <v>0</v>
      </c>
      <c r="T51" s="779">
        <f>AE50</f>
        <v>0</v>
      </c>
      <c r="U51" s="780">
        <f>IF(T51&gt;0,"m2","")</f>
      </c>
      <c r="V51" s="129"/>
      <c r="W51" s="121"/>
      <c r="X51" s="128" t="s">
        <v>122</v>
      </c>
      <c r="Y51" s="540" t="s">
        <v>17</v>
      </c>
      <c r="Z51" s="929">
        <f>SUM(Z45:Z50)</f>
        <v>0</v>
      </c>
      <c r="AA51" s="929"/>
      <c r="AB51" s="106"/>
    </row>
    <row r="52" spans="1:29" ht="1.5" customHeight="1">
      <c r="A52" s="23"/>
      <c r="B52" s="25"/>
      <c r="C52" s="28"/>
      <c r="D52" s="23"/>
      <c r="E52" s="29"/>
      <c r="F52" s="23"/>
      <c r="G52" s="23"/>
      <c r="H52" s="30"/>
      <c r="I52" s="30"/>
      <c r="J52" s="30"/>
      <c r="K52" s="2"/>
      <c r="L52" s="44"/>
      <c r="M52" s="44"/>
      <c r="N52" s="44"/>
      <c r="O52" s="44"/>
      <c r="P52" s="2"/>
      <c r="Q52" s="13"/>
      <c r="R52" s="13"/>
      <c r="S52" s="2"/>
      <c r="T52" s="2"/>
      <c r="U52" s="2"/>
      <c r="V52" s="32"/>
      <c r="W52" s="33"/>
      <c r="X52" s="33"/>
      <c r="Y52" s="539"/>
      <c r="Z52" s="34"/>
      <c r="AA52" s="35"/>
      <c r="AB52" s="36"/>
      <c r="AC52" s="23"/>
    </row>
    <row r="53" spans="2:28" s="27" customFormat="1" ht="15" customHeight="1">
      <c r="B53" s="186"/>
      <c r="D53" s="49"/>
      <c r="E53" s="109"/>
      <c r="F53" s="417" t="s">
        <v>274</v>
      </c>
      <c r="G53" s="907"/>
      <c r="H53" s="907"/>
      <c r="I53" s="907"/>
      <c r="J53" s="907"/>
      <c r="K53" s="428"/>
      <c r="L53" s="429"/>
      <c r="M53" s="430"/>
      <c r="N53" s="430"/>
      <c r="O53" s="430"/>
      <c r="P53" s="431"/>
      <c r="Q53" s="871" t="s">
        <v>25</v>
      </c>
      <c r="R53" s="869"/>
      <c r="S53" s="869"/>
      <c r="T53" s="869"/>
      <c r="U53" s="872"/>
      <c r="V53" s="922">
        <f>IF(OR(Z53=0,G53=0),0,ROUND(Z53/G53,0))</f>
        <v>0</v>
      </c>
      <c r="W53" s="923"/>
      <c r="X53" s="570" t="s">
        <v>428</v>
      </c>
      <c r="Y53" s="569" t="s">
        <v>17</v>
      </c>
      <c r="Z53" s="921">
        <f>Z51+Z43</f>
        <v>0</v>
      </c>
      <c r="AA53" s="921"/>
      <c r="AB53" s="112"/>
    </row>
    <row r="54" spans="1:29" ht="2.25" customHeight="1" thickBot="1">
      <c r="A54" s="23"/>
      <c r="B54" s="25"/>
      <c r="C54" s="107"/>
      <c r="D54" s="102"/>
      <c r="E54" s="108"/>
      <c r="F54" s="102"/>
      <c r="G54" s="102"/>
      <c r="H54" s="109"/>
      <c r="I54" s="109"/>
      <c r="J54" s="109"/>
      <c r="K54" s="102"/>
      <c r="L54" s="110"/>
      <c r="M54" s="110"/>
      <c r="N54" s="110"/>
      <c r="O54" s="110"/>
      <c r="P54" s="102"/>
      <c r="Q54" s="31"/>
      <c r="R54" s="31"/>
      <c r="S54" s="23"/>
      <c r="T54" s="23"/>
      <c r="U54" s="23"/>
      <c r="V54" s="25"/>
      <c r="X54" s="39"/>
      <c r="Y54" s="120"/>
      <c r="Z54" s="115"/>
      <c r="AA54" s="116"/>
      <c r="AB54" s="117"/>
      <c r="AC54" s="23"/>
    </row>
    <row r="55" spans="2:29" s="103" customFormat="1" ht="12.75" customHeight="1">
      <c r="B55" s="631"/>
      <c r="C55" s="632" t="s">
        <v>27</v>
      </c>
      <c r="D55" s="633"/>
      <c r="E55" s="633"/>
      <c r="F55" s="633"/>
      <c r="G55" s="633"/>
      <c r="H55" s="633"/>
      <c r="I55" s="633"/>
      <c r="J55" s="633"/>
      <c r="K55" s="633"/>
      <c r="L55" s="633"/>
      <c r="M55" s="633"/>
      <c r="N55" s="633"/>
      <c r="O55" s="633"/>
      <c r="P55" s="633"/>
      <c r="Q55" s="633"/>
      <c r="R55" s="633"/>
      <c r="S55" s="633"/>
      <c r="T55" s="633"/>
      <c r="U55" s="633"/>
      <c r="V55" s="633"/>
      <c r="W55" s="633"/>
      <c r="X55" s="634" t="s">
        <v>162</v>
      </c>
      <c r="Y55" s="912" t="s">
        <v>173</v>
      </c>
      <c r="Z55" s="912"/>
      <c r="AA55" s="912"/>
      <c r="AB55" s="638"/>
      <c r="AC55" s="105"/>
    </row>
    <row r="56" spans="1:29" ht="2.25" customHeight="1">
      <c r="A56" s="23"/>
      <c r="B56" s="41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  <c r="U56" s="2"/>
      <c r="Y56" s="7"/>
      <c r="Z56" s="7"/>
      <c r="AA56" s="7"/>
      <c r="AB56" s="113"/>
      <c r="AC56" s="23"/>
    </row>
    <row r="57" spans="2:29" s="103" customFormat="1" ht="30" customHeight="1">
      <c r="B57" s="104"/>
      <c r="C57" s="911"/>
      <c r="D57" s="911"/>
      <c r="E57" s="911"/>
      <c r="F57" s="911"/>
      <c r="G57" s="911"/>
      <c r="H57" s="911"/>
      <c r="I57" s="911"/>
      <c r="J57" s="911"/>
      <c r="K57" s="911"/>
      <c r="L57" s="911"/>
      <c r="M57" s="911"/>
      <c r="N57" s="911"/>
      <c r="O57" s="911"/>
      <c r="P57" s="911"/>
      <c r="Q57" s="911"/>
      <c r="R57" s="911"/>
      <c r="S57" s="911"/>
      <c r="T57" s="911"/>
      <c r="U57" s="911"/>
      <c r="V57" s="911"/>
      <c r="W57" s="911"/>
      <c r="X57" s="911"/>
      <c r="Y57" s="911"/>
      <c r="Z57" s="911"/>
      <c r="AA57" s="911"/>
      <c r="AB57" s="188"/>
      <c r="AC57" s="105"/>
    </row>
    <row r="58" spans="1:28" ht="2.2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42"/>
      <c r="U58" s="42"/>
      <c r="V58" s="39"/>
      <c r="W58" s="39"/>
      <c r="X58" s="39"/>
      <c r="Y58" s="18"/>
      <c r="Z58" s="18"/>
      <c r="AA58" s="18"/>
      <c r="AB58" s="19"/>
    </row>
    <row r="59" spans="21:29" s="43" customFormat="1" ht="18" customHeight="1">
      <c r="U59" s="189"/>
      <c r="V59" s="190"/>
      <c r="W59" s="190"/>
      <c r="X59" s="190"/>
      <c r="Y59" s="190"/>
      <c r="Z59" s="190"/>
      <c r="AA59" s="190"/>
      <c r="AB59" s="190"/>
      <c r="AC59" s="7"/>
    </row>
    <row r="60" spans="21:29" s="43" customFormat="1" ht="36" customHeight="1">
      <c r="U60" s="2"/>
      <c r="V60" s="2"/>
      <c r="W60" s="2"/>
      <c r="X60" s="2"/>
      <c r="Y60" s="2"/>
      <c r="Z60" s="2"/>
      <c r="AA60" s="6"/>
      <c r="AB60" s="2"/>
      <c r="AC60" s="7"/>
    </row>
    <row r="61" spans="20:27" ht="18" customHeight="1">
      <c r="T61" s="555">
        <f>P3</f>
        <v>0</v>
      </c>
      <c r="U61" s="556"/>
      <c r="V61" s="555"/>
      <c r="W61" s="555"/>
      <c r="X61" s="555"/>
      <c r="Y61" s="555"/>
      <c r="Z61" s="555"/>
      <c r="AA61" s="555"/>
    </row>
    <row r="62" spans="20:27" ht="18" customHeight="1">
      <c r="T62" s="557" t="s">
        <v>106</v>
      </c>
      <c r="U62" s="558"/>
      <c r="V62" s="557"/>
      <c r="W62" s="557"/>
      <c r="X62" s="557"/>
      <c r="Y62" s="557"/>
      <c r="Z62" s="557"/>
      <c r="AA62" s="557"/>
    </row>
    <row r="63" spans="10:28" ht="42" customHeight="1">
      <c r="J63" s="157" t="s">
        <v>28</v>
      </c>
      <c r="T63" s="909" t="s">
        <v>245</v>
      </c>
      <c r="U63" s="910"/>
      <c r="V63" s="910"/>
      <c r="W63" s="910"/>
      <c r="X63" s="910"/>
      <c r="Y63" s="910"/>
      <c r="Z63" s="910"/>
      <c r="AA63" s="910"/>
      <c r="AB63" s="111"/>
    </row>
    <row r="64" spans="20:27" ht="33" customHeight="1">
      <c r="T64" s="909" t="s">
        <v>246</v>
      </c>
      <c r="U64" s="910"/>
      <c r="V64" s="910"/>
      <c r="W64" s="910"/>
      <c r="X64" s="910"/>
      <c r="Y64" s="910"/>
      <c r="Z64" s="910"/>
      <c r="AA64" s="910"/>
    </row>
    <row r="65" ht="16.5" customHeight="1"/>
    <row r="68" spans="20:27" ht="12.75" customHeight="1">
      <c r="T68" s="927"/>
      <c r="U68" s="927"/>
      <c r="V68" s="927"/>
      <c r="W68" s="927"/>
      <c r="X68" s="793"/>
      <c r="Y68" s="1066"/>
      <c r="Z68" s="1066"/>
      <c r="AA68" s="1066"/>
    </row>
    <row r="69" spans="20:27" ht="11.25">
      <c r="T69" s="557" t="s">
        <v>503</v>
      </c>
      <c r="U69" s="558"/>
      <c r="V69" s="557"/>
      <c r="W69" s="557"/>
      <c r="X69" s="791"/>
      <c r="Y69" s="791" t="s">
        <v>467</v>
      </c>
      <c r="Z69" s="557"/>
      <c r="AA69" s="557"/>
    </row>
  </sheetData>
  <sheetProtection password="CC3D" sheet="1" scenarios="1"/>
  <mergeCells count="111">
    <mergeCell ref="T68:W68"/>
    <mergeCell ref="Y68:AA68"/>
    <mergeCell ref="W48:X48"/>
    <mergeCell ref="Z48:AA48"/>
    <mergeCell ref="Z49:AA49"/>
    <mergeCell ref="Z50:AA50"/>
    <mergeCell ref="Z51:AA51"/>
    <mergeCell ref="W50:X50"/>
    <mergeCell ref="W45:X45"/>
    <mergeCell ref="W46:X46"/>
    <mergeCell ref="Z45:AA45"/>
    <mergeCell ref="Z46:AA46"/>
    <mergeCell ref="Z47:AA47"/>
    <mergeCell ref="T63:AA63"/>
    <mergeCell ref="T64:AA64"/>
    <mergeCell ref="C57:AA57"/>
    <mergeCell ref="Y55:AA55"/>
    <mergeCell ref="W49:X49"/>
    <mergeCell ref="C50:J50"/>
    <mergeCell ref="M50:R50"/>
    <mergeCell ref="Z53:AA53"/>
    <mergeCell ref="V53:W53"/>
    <mergeCell ref="Y42:AA42"/>
    <mergeCell ref="C45:J45"/>
    <mergeCell ref="P21:Q21"/>
    <mergeCell ref="G53:J53"/>
    <mergeCell ref="F38:I38"/>
    <mergeCell ref="F25:K25"/>
    <mergeCell ref="N31:P31"/>
    <mergeCell ref="G30:J30"/>
    <mergeCell ref="H26:L26"/>
    <mergeCell ref="G32:N32"/>
    <mergeCell ref="G31:J31"/>
    <mergeCell ref="G33:J33"/>
    <mergeCell ref="C47:J47"/>
    <mergeCell ref="W47:X47"/>
    <mergeCell ref="M43:N43"/>
    <mergeCell ref="O43:P43"/>
    <mergeCell ref="W43:X43"/>
    <mergeCell ref="N33:P33"/>
    <mergeCell ref="Q43:S43"/>
    <mergeCell ref="F43:L43"/>
    <mergeCell ref="N8:S8"/>
    <mergeCell ref="S19:U19"/>
    <mergeCell ref="X19:AA19"/>
    <mergeCell ref="U9:V9"/>
    <mergeCell ref="C18:AA18"/>
    <mergeCell ref="S11:U11"/>
    <mergeCell ref="J9:J13"/>
    <mergeCell ref="E3:K3"/>
    <mergeCell ref="Y1:AA1"/>
    <mergeCell ref="P3:T3"/>
    <mergeCell ref="V21:W21"/>
    <mergeCell ref="L20:M20"/>
    <mergeCell ref="L21:M21"/>
    <mergeCell ref="N19:P19"/>
    <mergeCell ref="V20:W20"/>
    <mergeCell ref="E19:I19"/>
    <mergeCell ref="P20:Q20"/>
    <mergeCell ref="Z25:AA25"/>
    <mergeCell ref="O26:P26"/>
    <mergeCell ref="O25:R25"/>
    <mergeCell ref="O27:Q27"/>
    <mergeCell ref="U25:V25"/>
    <mergeCell ref="Z26:AA26"/>
    <mergeCell ref="U26:V26"/>
    <mergeCell ref="Z27:AA27"/>
    <mergeCell ref="Z28:AA28"/>
    <mergeCell ref="H28:K28"/>
    <mergeCell ref="H27:K27"/>
    <mergeCell ref="O30:P30"/>
    <mergeCell ref="O28:P28"/>
    <mergeCell ref="Q28:T28"/>
    <mergeCell ref="V30:W30"/>
    <mergeCell ref="X30:AA30"/>
    <mergeCell ref="Z31:AA31"/>
    <mergeCell ref="D8:D13"/>
    <mergeCell ref="E8:I8"/>
    <mergeCell ref="N9:S9"/>
    <mergeCell ref="N11:P11"/>
    <mergeCell ref="P10:S10"/>
    <mergeCell ref="M10:O10"/>
    <mergeCell ref="E13:I13"/>
    <mergeCell ref="M30:N30"/>
    <mergeCell ref="K29:L29"/>
    <mergeCell ref="AB1:AC1"/>
    <mergeCell ref="U10:X10"/>
    <mergeCell ref="S14:AA14"/>
    <mergeCell ref="N7:V7"/>
    <mergeCell ref="Y13:AA13"/>
    <mergeCell ref="Y3:AA3"/>
    <mergeCell ref="Z11:AA11"/>
    <mergeCell ref="Y7:AA7"/>
    <mergeCell ref="P14:R14"/>
    <mergeCell ref="U8:AA8"/>
    <mergeCell ref="V39:W39"/>
    <mergeCell ref="T31:V31"/>
    <mergeCell ref="Z43:AA43"/>
    <mergeCell ref="W42:X42"/>
    <mergeCell ref="W31:Y31"/>
    <mergeCell ref="G40:AA40"/>
    <mergeCell ref="U38:W38"/>
    <mergeCell ref="S32:X32"/>
    <mergeCell ref="G34:AA34"/>
    <mergeCell ref="T33:V33"/>
    <mergeCell ref="K50:L50"/>
    <mergeCell ref="H39:L39"/>
    <mergeCell ref="C46:J46"/>
    <mergeCell ref="Q53:U53"/>
    <mergeCell ref="C49:J49"/>
    <mergeCell ref="C48:J48"/>
  </mergeCells>
  <conditionalFormatting sqref="Z29 X29 E3:K3 P3:T3 S30 O28:T28 T29 M7:V7 V39:W39 S39 H27:K28 Z38:AA38 N33:P33 U30:W30 P29 U25:V27 M30:P31 V20:W21 P32 S32:X32 Z25:AA28 O38 N39:O39 Z32 U38:W38 Y13:AA13 H39:L39 Y7:AA7 Y1:AA1 S14:AA14 U8:AA8 K29:L29 AA9:AA10 U9:X9 H26:L26 G31:J31 F25:K25 N8:S9 M10:X10 S11:W11 G32:N32 N11:P11 Z11:AA11 O25:R26 O27:Q27 T31:AA31 Y3:AA3">
    <cfRule type="cellIs" priority="1" dxfId="0" operator="equal" stopIfTrue="1">
      <formula>0</formula>
    </cfRule>
  </conditionalFormatting>
  <conditionalFormatting sqref="X19:AA19 AA12 AA20:AA21 S19:U19 T33:V33 X30:AA30 P20:Q21 Q13:R13 P14:R14 E19:I19 N19:P19 V12:V13 R12 L20:M21">
    <cfRule type="cellIs" priority="2" dxfId="1" operator="equal" stopIfTrue="1">
      <formula>0</formula>
    </cfRule>
  </conditionalFormatting>
  <conditionalFormatting sqref="Y55:AA55">
    <cfRule type="cellIs" priority="3" dxfId="2" operator="equal" stopIfTrue="1">
      <formula>"NO"</formula>
    </cfRule>
    <cfRule type="cellIs" priority="4" dxfId="2" operator="equal" stopIfTrue="1">
      <formula>"EN PARTE"</formula>
    </cfRule>
  </conditionalFormatting>
  <conditionalFormatting sqref="Z39:AA39 Y33:AA33 F38:I38 G30:J30 F33:J33">
    <cfRule type="cellIs" priority="5" dxfId="3" operator="equal" stopIfTrue="1">
      <formula>0</formula>
    </cfRule>
  </conditionalFormatting>
  <conditionalFormatting sqref="E14:L14 C7 C9:C12 C14 E7:K7 E9:I12 K9:K12 J10:J12">
    <cfRule type="cellIs" priority="6" dxfId="4" operator="notEqual" stopIfTrue="1">
      <formula>0</formula>
    </cfRule>
  </conditionalFormatting>
  <conditionalFormatting sqref="S50:U50">
    <cfRule type="expression" priority="7" dxfId="5" stopIfTrue="1">
      <formula>$K$50="Ninguna"</formula>
    </cfRule>
  </conditionalFormatting>
  <conditionalFormatting sqref="W50:X50">
    <cfRule type="expression" priority="8" dxfId="5" stopIfTrue="1">
      <formula>$K$50="Ninguna"</formula>
    </cfRule>
    <cfRule type="expression" priority="9" dxfId="5" stopIfTrue="1">
      <formula>$K$50&lt;&gt;"S/listado"</formula>
    </cfRule>
  </conditionalFormatting>
  <conditionalFormatting sqref="V50">
    <cfRule type="expression" priority="10" dxfId="5" stopIfTrue="1">
      <formula>OR($K$50&lt;&gt;"S/listado",$K$50="Ninguna")</formula>
    </cfRule>
  </conditionalFormatting>
  <dataValidations count="83">
    <dataValidation type="whole" allowBlank="1" showInputMessage="1" showErrorMessage="1" promptTitle="Año" prompt="Indique Año de Construccion ESTIMADO" errorTitle="Año Edificación" error="Año Erróneo" sqref="O45:O49">
      <formula1>1500</formula1>
      <formula2>2020</formula2>
    </dataValidation>
    <dataValidation type="list" allowBlank="1" showErrorMessage="1" sqref="AA10">
      <formula1>"I,II,III,IV,V,VI,VII,VIII,IX,X,Xp,XI,XII,RM"</formula1>
    </dataValidation>
    <dataValidation allowBlank="1" showInputMessage="1" showErrorMessage="1" prompt="Digite cualquier caracter distinto de 0 para enenegrecer." sqref="K14 E14:I14 C14 K9:K12 K7 C7 F12:I12 C9:C12 E7:I7 E12:E13 E9:I11"/>
    <dataValidation allowBlank="1" showInputMessage="1" showErrorMessage="1" prompt="Indique el NOMBRE de la vía" sqref="N9"/>
    <dataValidation type="list" allowBlank="1" sqref="U45:U50">
      <formula1>"m2,m,m3,Un.,GL"</formula1>
    </dataValidation>
    <dataValidation type="whole" allowBlank="1" showInputMessage="1" prompt="Indique el Año de Edición del Plano" error="Indique el Año de Edición del Plano" sqref="W11">
      <formula1>1900</formula1>
      <formula2>2010</formula2>
    </dataValidation>
    <dataValidation allowBlank="1" showInputMessage="1" showErrorMessage="1" promptTitle="Coordenadas" prompt="Indiquelas IGUAL a como se indican en INDICE del Plano.&#10;Ej.:  34 5-D" sqref="Z11"/>
    <dataValidation allowBlank="1" showInputMessage="1" showErrorMessage="1" promptTitle="Edificación" prompt="Descripción" sqref="C45:C48"/>
    <dataValidation allowBlank="1" showInputMessage="1" prompt="Use la tecla de TABULACION para desplazarse en el Formulario" sqref="A1"/>
    <dataValidation allowBlank="1" showInputMessage="1" promptTitle="Número de Tasación" prompt="Ingrese Número Asignado en Solicitud" sqref="Y1"/>
    <dataValidation type="textLength" allowBlank="1" showInputMessage="1" showErrorMessage="1" promptTitle="Observaciones del Tasador" prompt="Breve fundamento de la CALIDAD de la Garantía.&#10;Indique si en el VALOR DE TASACION excluyó algun ítem. &#10;Indique si NO pudo inspeccionar la propiedad, en parte o en su totalidad y la razón de ello." error="El texto excede el máximo de caracteres permitidos (450)" sqref="Y57:AA57 C57">
      <formula1>0</formula1>
      <formula2>500</formula2>
    </dataValidation>
    <dataValidation type="list" allowBlank="1" sqref="U43">
      <formula1>"m2,hás"</formula1>
    </dataValidation>
    <dataValidation type="list" allowBlank="1" sqref="H22:I22 F22">
      <formula1>"URBANA,RURAL,EXP.URBANA"</formula1>
    </dataValidation>
    <dataValidation type="list" allowBlank="1" sqref="N22 H39:L39 O25">
      <formula1>"AGRICOLA,AGROHABITACIONAL,HABITACIONAL,COMERCIAL,COMERCIAL/HABIT.,EQUIP. Y SERVICIOS,INDUST. INOFENSIVO,INDUST. MOLESTO"</formula1>
    </dataValidation>
    <dataValidation type="list" allowBlank="1" sqref="O28 Z22 U26">
      <formula1>"ALTA,MEDIA,BAJA,NULA"</formula1>
    </dataValidation>
    <dataValidation type="list" allowBlank="1" showInputMessage="1" sqref="Z25 O26">
      <formula1>"ALTA,MEDIA,BAJA,NULA"</formula1>
    </dataValidation>
    <dataValidation type="list" allowBlank="1" sqref="Z27">
      <formula1>"BUENA,REGULAR,MALA"</formula1>
    </dataValidation>
    <dataValidation type="list" allowBlank="1" sqref="O30">
      <formula1>"C/SOLERA,S/SOLERA"</formula1>
    </dataValidation>
    <dataValidation type="list" allowBlank="1" sqref="V30">
      <formula1>"BALDOSA,PASTELON,HORMIGON,TIERRA,NO TIENE"</formula1>
    </dataValidation>
    <dataValidation type="list" allowBlank="1" sqref="G30 I30">
      <formula1>"COMPLETA,INCOMPLETA,EN EJECUCION,PROYECTADA"</formula1>
    </dataValidation>
    <dataValidation type="list" allowBlank="1" sqref="Z28 AA22">
      <formula1>"BAJO,MEDIO-BAJO,MEDIO,MEDIO-ALTO,ALTO"</formula1>
    </dataValidation>
    <dataValidation type="list" allowBlank="1" sqref="N31 G31 I31 T31">
      <formula1>"RED PUBLICA,RED PRIVADA,NO HAY RED,EN PROYECTO,EN EJECUCION"</formula1>
    </dataValidation>
    <dataValidation type="list" allowBlank="1" sqref="Z31">
      <formula1>"AEREA,SUBTE"</formula1>
    </dataValidation>
    <dataValidation type="list" allowBlank="1" sqref="W31">
      <formula1>"MONOFASICA,TRIFASICA,MONOF/TRIF"</formula1>
    </dataValidation>
    <dataValidation type="list" allowBlank="1" sqref="Q43">
      <formula1>"REGULAR,CASI REGULAR,IRREGULAR,MUY IRREGULAR"</formula1>
    </dataValidation>
    <dataValidation type="list" allowBlank="1" showInputMessage="1" prompt="Indique el TIPO DE VIA de acceso a la propiedad" sqref="N33:P33">
      <formula1>"CALLE,AVENIDA,ALAMEDA,PASAJE,CAMINO,CARRETERA,PASEO"</formula1>
    </dataValidation>
    <dataValidation type="list" allowBlank="1" showInputMessage="1" showErrorMessage="1" prompt="Indique el TIPO DE AGRUPACION, si corresponde" sqref="R10">
      <formula1>"POBLACIÓN,CONJUNTO,VILLA,CONDOMINIO,EDIFICIO,TORRE / BLOCK,REMODELACIÓN,SECTOR,BARRIO,CIUDAD,LOCALIDAD,CENTRO COMERC.,SUBDIVISIÓN,LOTEO,MANZANA,PARCELACIÓN,PUERTO,AEROPUERTO,OTRO"</formula1>
    </dataValidation>
    <dataValidation type="list" allowBlank="1" showInputMessage="1" showErrorMessage="1" sqref="U8">
      <formula1>"SIN USO,HABITACION,COMERCIO,OFICINA,SERVICIOS,INDUSTRIA,ESTACIONAMIENTO,TRANSPORTE,COMUNICACIONES,ALMACENAJE Y BODEGA ,DEPORTES Y RECREACION,EDUCACION Y CULTURA,SALUD,AGRICOLA,PESCA,MINERIA"</formula1>
    </dataValidation>
    <dataValidation type="list" allowBlank="1" showInputMessage="1" promptTitle="Plano de Referencia" prompt="Seleccione o escriba Nombre del Plano Referencial de Ubicación.&#10;Ej.: CTC" sqref="S11">
      <formula1>"CTC,MOPT,TURISTEL,ACOP,TRIVELLI"</formula1>
    </dataValidation>
    <dataValidation type="list" allowBlank="1" showErrorMessage="1" sqref="E3:L3 N3">
      <formula1>"TASACION SUBSIDIO,TASACION COMERCIAL,PERITAJE EXPROPIACION,PERITAJE JUDICIAL,OTRO"</formula1>
    </dataValidation>
    <dataValidation type="list" allowBlank="1" showInputMessage="1" showErrorMessage="1" sqref="H26">
      <formula1>"INDIVIDUAL AISLADA,INDIVIDUAL PAREADA,CONJUNTO,CONDOMINIO,EDIFICIO AISLADO,EDIFICIO CONTINUO,MULTIBLOCK"</formula1>
    </dataValidation>
    <dataValidation type="list" allowBlank="1" showInputMessage="1" showErrorMessage="1" sqref="Z26 U25">
      <formula1>"IMPROBABLE,PROBABLE,EN PROCESO"</formula1>
    </dataValidation>
    <dataValidation type="list" allowBlank="1" sqref="H28">
      <formula1>"EN FORMACION,CRECIENTE,EXPANSION,RENOVACION,CONSOLIDADO,ESTACIONARIO,DECRECIENTE,INCIERTO"</formula1>
    </dataValidation>
    <dataValidation type="list" allowBlank="1" showInputMessage="1" showErrorMessage="1" sqref="AA20:AA21 V12:V13 R12:R13 AA12">
      <formula1>"SI,NO"</formula1>
    </dataValidation>
    <dataValidation type="list" allowBlank="1" sqref="N19 H27">
      <formula1>"SUPERIOR,BUENA,CORRIENTE,REGULAR,INFERIOR"</formula1>
    </dataValidation>
    <dataValidation type="list" allowBlank="1" showInputMessage="1" showErrorMessage="1" sqref="U38">
      <formula1>"ADECUADO,INADECUADO,SUBUTILIZADO,SOBREUTILIZADO,NO HAY"</formula1>
    </dataValidation>
    <dataValidation type="list" allowBlank="1" showInputMessage="1" showErrorMessage="1" sqref="V39">
      <formula1>"AISLADO,PAREADO,ADOSADO,CONTINUO"</formula1>
    </dataValidation>
    <dataValidation type="list" allowBlank="1" showInputMessage="1" showErrorMessage="1" sqref="E19">
      <formula1>"EXCLUSIVO,TIPICO,REPETITIVO,PREFABRICADO,MASIVO,SIN ASESORIA"</formula1>
    </dataValidation>
    <dataValidation type="list" allowBlank="1" sqref="S19 O27:Q27">
      <formula1>"MALO,DEFICIENTE,REGULAR,SATISFACTORIO,BUENO,NUEVO - S/USO"</formula1>
    </dataValidation>
    <dataValidation type="list" allowBlank="1" sqref="X29">
      <formula1>"BUS,METRO"</formula1>
    </dataValidation>
    <dataValidation type="whole" allowBlank="1" showInputMessage="1" showErrorMessage="1" promptTitle="Ancho Calzada" prompt="En metros" sqref="S30">
      <formula1>0</formula1>
      <formula2>100</formula2>
    </dataValidation>
    <dataValidation type="whole" allowBlank="1" showInputMessage="1" showErrorMessage="1" promptTitle="Calidad Edificación" prompt="1  SUPERIOR&#10;2  BUENA&#10;3  CORRIENTE&#10;4  REGULAR&#10;5  INFERIOR&#10;6  DEFICIENTE" errorTitle="Calidad Edificación" error="Valor debe estar entre 1 y 5" sqref="L45:L49">
      <formula1>1</formula1>
      <formula2>6</formula2>
    </dataValidation>
    <dataValidation type="list" allowBlank="1" showInputMessage="1" promptTitle="Adecuación al Plan Regulador" prompt="La edificación existente en la propiedad ¿cumple con las condiciones de edificación establecidas en el Plan Regulador para el sector?" sqref="P21:Q21">
      <formula1>"SI,NO,PARCIAL"</formula1>
    </dataValidation>
    <dataValidation type="list" sqref="V20">
      <formula1>"SI TOTAL,SI PARCIAL,NO,SIN DATOS"</formula1>
    </dataValidation>
    <dataValidation type="list" allowBlank="1" sqref="P14 AB21">
      <formula1>"PROPIETARIO,FAMILIAR,COMPRADOR,ARRENDATARIO,CUIDADOR,DESHABITADA"</formula1>
    </dataValidation>
    <dataValidation type="list" allowBlank="1" showInputMessage="1" showErrorMessage="1" promptTitle="Estado de Conservación" prompt="NUE  Nuevo&#10;BUE  Bueno&#10;SAT  Satisfactorio&#10;DEF  Deficiente&#10;MAL  Malo&#10;E/C  En construcción&#10;INC  Inconcluso" errorTitle="Estado de Conservación" error="Código Erróneo&#10;&#10;Vea los códigos válidos en la hoja &quot;Datos&quot;" sqref="S45:S50">
      <formula1>"NUE,BUE,SAT,DEF,MAL,E/C,INC"</formula1>
    </dataValidation>
    <dataValidation type="list" allowBlank="1" showInputMessage="1" showErrorMessage="1" promptTitle="Tipo de Unidad" prompt="St   Sitio o Lote&#10;Cs  Casa&#10;Dp  Departamento&#10;Of  Oficina&#10;Lc   Local&#10;Bd  Bodega&#10;Bx  Box Estacionamiento&#10;Pc  Parcela&#10;Hj  Hijuela" sqref="W9">
      <formula1>"St,Cs,Dp,Of,Lc,Bd,Bx,Pc,Hj"</formula1>
    </dataValidation>
    <dataValidation allowBlank="1" showInputMessage="1" showErrorMessage="1" promptTitle="Nº Unidad" prompt="Número del departamento, local, oficina, etc." sqref="X9"/>
    <dataValidation type="list" allowBlank="1" sqref="M30">
      <formula1>"HORMIGON,ASFALTO,ADOQUIN,RIPIO,TIERRA"</formula1>
    </dataValidation>
    <dataValidation type="list" allowBlank="1" showInputMessage="1" showErrorMessage="1" promptTitle="Clase Estructural" prompt=" " errorTitle="Clase de Edificación" error="Código Erróneo&#10;&#10;Vea los códigos válidos en la hoja &quot;Datos&quot;" sqref="K45:K49">
      <formula1>"A,B,C,Ca,D,E,Ea,F,G,H,I,OT"</formula1>
    </dataValidation>
    <dataValidation type="list" allowBlank="1" showInputMessage="1" showErrorMessage="1" sqref="X19:Y19">
      <formula1>"SIN EDIFICACION,TERMINADA,EN CONSTRUCCION,INCONCLUSA PARALIZADA,INCONCLUSA HABITADA,REMODELADA,SIN VALOR"</formula1>
    </dataValidation>
    <dataValidation type="decimal" allowBlank="1" showInputMessage="1" showErrorMessage="1" promptTitle="Depreciación" prompt=" " sqref="R45:R49">
      <formula1>0</formula1>
      <formula2>100</formula2>
    </dataValidation>
    <dataValidation type="list" allowBlank="1" showInputMessage="1" showErrorMessage="1" sqref="F25">
      <formula1>"URBANA,EXPANSION URBANA,RURAL"</formula1>
    </dataValidation>
    <dataValidation type="list" allowBlank="1" showInputMessage="1" showErrorMessage="1" sqref="X30:Z30">
      <formula1>"C/BANDEJON Y JARDIN,C/BANDEJON Y TIERRA,S/BANDEJON"</formula1>
    </dataValidation>
    <dataValidation allowBlank="1" showInputMessage="1" prompt="Nº Pisos" sqref="N45:N49"/>
    <dataValidation type="list" allowBlank="1" showInputMessage="1" showErrorMessage="1" sqref="G33:I33">
      <formula1>"BUENA,REGULAR,DEFICIENTE,MALA"</formula1>
    </dataValidation>
    <dataValidation type="list" allowBlank="1" showInputMessage="1" sqref="F38:I38">
      <formula1>"PLANO,SUAVE,ABRUPTA,COMBINADA"</formula1>
    </dataValidation>
    <dataValidation type="list" allowBlank="1" showInputMessage="1" sqref="Q28:S28">
      <formula1>"ESTABLE, EN AUMENTO,EN DISMINUCIÓN"</formula1>
    </dataValidation>
    <dataValidation allowBlank="1" showInputMessage="1" showErrorMessage="1" promptTitle="Externalidades" prompt="Presencia de externalidades positivas (arborización de la calle, paisaje, vista, etc.) o negativas (actividades o edificaciones perturbadoras, riesgos naturales o artificiales, etc.). " sqref="G34:AA34"/>
    <dataValidation allowBlank="1" showInputMessage="1" showErrorMessage="1" promptTitle="Posibilidades de aprovechamiento" prompt="Afección a normas específicas (edificación restringida, remodelación urbana, expropiación, etc.), disponibilidad o dotación de servicios públicos, etc." sqref="G40:AA40"/>
    <dataValidation type="list" allowBlank="1" showInputMessage="1" showErrorMessage="1" sqref="T33">
      <formula1>"PRINCIPAL,EXPRESA,SECUNDARIA,CALLE CORTA,PASAJE,CIEGA"</formula1>
    </dataValidation>
    <dataValidation type="list" allowBlank="1" showInputMessage="1" showErrorMessage="1" sqref="AA39">
      <formula1>"mt.,pisos"</formula1>
    </dataValidation>
    <dataValidation type="list" allowBlank="1" showErrorMessage="1" errorTitle="Tipo de Bien" error="Tipo erróneo" sqref="N8:S8">
      <formula1>"PROYECTO EN CONSTRUCCION,CASA,DEPARTAMENTO,PARCELA AGRADO,OFICINA,SITIO URBANO,LOCAL COMERCIAL,ESTACIONAMIENTO,BODEGA,INDUSTRIA,BIEN RAIZ RURAL,OTRO"</formula1>
    </dataValidation>
    <dataValidation type="decimal" allowBlank="1" showInputMessage="1" showErrorMessage="1" promptTitle="Factor Alteración Instalaciones" prompt="1,00  Sin Remozamiento ni Deterioro&#10;0,75  Poco Remozamiento&#10;0,50  Mediano Remozamiento&#10;0,25  Mucho Remozamiento&#10;  0     Total Remozamiento&#10;1,25  Poco Deterioro&#10;1,50  Mediano Deterioro&#10;1,75  Mucho Deterioro&#10;2,00  Total Deterioro&#10;" errorTitle="Factor Alteración Instalaciones" error="Valor entre 0 y 2" sqref="Q45:Q49">
      <formula1>0</formula1>
      <formula2>2</formula2>
    </dataValidation>
    <dataValidation type="list" allowBlank="1" showInputMessage="1" showErrorMessage="1" promptTitle="Condición Especial Edificación" prompt="CA  Construcción abierta&#10;MS  Mansarda&#10;PZ   Piso zócalo&#10;SB   Subterráneo&#10;SC   Sin condición" errorTitle="Condición Especial Construcción" error="Código Erróneo&#10;&#10;Vea los códigos válidos en la hoja &quot;Datos&quot;" sqref="M45:M49">
      <formula1>"CA,MS,PZ,SB,SC"</formula1>
    </dataValidation>
    <dataValidation type="decimal" allowBlank="1" showInputMessage="1" showErrorMessage="1" promptTitle="Factor Alteración Terminaciones" prompt="1,00  Sin Remozamiento ni Deterioro&#10;0,75  Poco Remozamiento&#10;0,50  Mediano Remozamiento&#10;0,25  Mucho Remozamiento&#10;  0     Total Remozamiento&#10;1,25  Poco Deterioro&#10;1,50  Mediano Deterioro&#10;1,75  Mucho Deterioro&#10;2,00  Total Deterioro&#10;" errorTitle="Factor Alteración Terminaciones" error="Valor entre 0 y 2" sqref="P45:P49">
      <formula1>0</formula1>
      <formula2>2</formula2>
    </dataValidation>
    <dataValidation type="list" allowBlank="1" sqref="Y55:AA55">
      <formula1>"TOTAL,EN PARTE,NO"</formula1>
    </dataValidation>
    <dataValidation type="list" allowBlank="1" showInputMessage="1" promptTitle="Plano de Referencia" prompt="Seleccione o escriba Nombre del Plano Referencial de Ubicación.&#10;Ej.: CTC" sqref="T11">
      <formula1>$Q$101:$Q$104</formula1>
    </dataValidation>
    <dataValidation type="list" allowBlank="1" showInputMessage="1" showErrorMessage="1" promptTitle="Agrupación" prompt="Indique el TIPO DE AGRUPACION, si corresponde" sqref="M10:O10">
      <formula1>"Población,Conjunto,Villa,Condominio,Edificio,Torre,Remodelación,Sector,Barrio,Ciudad,Localidad,Centro Comerc.,Subdivisión,Loteo,Manzana,Parcelación,Otro"</formula1>
    </dataValidation>
    <dataValidation allowBlank="1" showInputMessage="1" showErrorMessage="1" promptTitle="Nº Pisos" prompt="Predominante" sqref="Q26"/>
    <dataValidation type="list" allowBlank="1" showInputMessage="1" sqref="F43:L43">
      <formula1>"Sólo Uso y Goce Exclusivo,Prorrateo Terreno Común,Prorrateo + uso y goce excl."</formula1>
    </dataValidation>
    <dataValidation type="list" allowBlank="1" showInputMessage="1" promptTitle="Adecuación al Sector" prompt="El uso actual de la propiedad ¿es coherente con el uso predominante en el sector?" sqref="L20:M20">
      <formula1>"SI,NO,PARCIAL"</formula1>
    </dataValidation>
    <dataValidation type="list" allowBlank="1" showInputMessage="1" promptTitle="Adecuación al Sector" prompt="La edificación existente en la propiedad ¿es concordante con las edificaciones predominantes en el sector?" sqref="P20:Q20">
      <formula1>"SI,NO,PARCIAL"</formula1>
    </dataValidation>
    <dataValidation type="list" allowBlank="1" showInputMessage="1" promptTitle="Adecuación al Plan Regulador" prompt="El uso actual de la propiedad ¿es coherente con los usos permitidos por el Plan Regulador en el sector?" sqref="L21:M21">
      <formula1>"SI,NO,PARCIAL"</formula1>
    </dataValidation>
    <dataValidation type="list" showInputMessage="1" promptTitle="Factibilidad de Regularización" prompt="Si hay construcciones no regularizadas, indique si es factible su regulzarización" sqref="V21:W21">
      <formula1>"SI TOTAL,SI PARCIAL,NO,SIN DATOS"</formula1>
    </dataValidation>
    <dataValidation type="list" allowBlank="1" showInputMessage="1" showErrorMessage="1" promptTitle="Obras Complementarias" prompt="Indique la incidencia de la partida (Anexo 2, Tabla 16) o si se valora según listado (Anexo 2, Tabla 17)" sqref="K50:L50">
      <formula1>"Promedio,Mínima,Máxima,S/listado,Ninguna"</formula1>
    </dataValidation>
    <dataValidation allowBlank="1" showInputMessage="1" showErrorMessage="1" promptTitle="Sólo Edificaciones según Anexo" prompt="Descripción.&#10;Si en la propiedad se distinguen más de 4 edificaciones, detállelas y valórelas en hoja Anexos, y regístrelas en esta línea con clase OT." sqref="C49:J49"/>
    <dataValidation allowBlank="1" showInputMessage="1" showErrorMessage="1" promptTitle="Valor Obras Complementarias" prompt="Ingrese el valor sólo si se aplica el listado valorizado (Anexo 2, Tabla 17)" sqref="V50"/>
    <dataValidation allowBlank="1" showInputMessage="1" showErrorMessage="1" promptTitle="Cantidad" prompt=" " sqref="T50"/>
    <dataValidation allowBlank="1" showInputMessage="1" showErrorMessage="1" promptTitle="Detalle OOCC" prompt=" " sqref="M50:R50"/>
    <dataValidation type="date" operator="greaterThanOrEqual" allowBlank="1" showErrorMessage="1" errorTitle="Fecha" error="Fecha o Formato de fecha incorrecto" sqref="Y3:AA3">
      <formula1>37622</formula1>
    </dataValidation>
    <dataValidation type="decimal" operator="greaterThanOrEqual" allowBlank="1" showInputMessage="1" showErrorMessage="1" sqref="G53:J53">
      <formula1>15000</formula1>
    </dataValidation>
    <dataValidation type="date" operator="greaterThanOrEqual" allowBlank="1" showInputMessage="1" showErrorMessage="1" sqref="Y68:AA68">
      <formula1>37622</formula1>
    </dataValidation>
  </dataValidations>
  <printOptions horizontalCentered="1"/>
  <pageMargins left="0.75" right="0.75" top="0.3937007874015748" bottom="0.984251968503937" header="0" footer="0"/>
  <pageSetup horizontalDpi="720" verticalDpi="72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AW95"/>
  <sheetViews>
    <sheetView showGridLines="0" showZeros="0" workbookViewId="0" topLeftCell="A1">
      <selection activeCell="A1" sqref="A1"/>
    </sheetView>
  </sheetViews>
  <sheetFormatPr defaultColWidth="11.421875" defaultRowHeight="12" customHeight="1"/>
  <cols>
    <col min="1" max="1" width="0.13671875" style="50" customWidth="1"/>
    <col min="2" max="2" width="0.85546875" style="50" customWidth="1"/>
    <col min="3" max="13" width="2.7109375" style="50" customWidth="1"/>
    <col min="14" max="14" width="2.28125" style="50" customWidth="1"/>
    <col min="15" max="15" width="2.7109375" style="50" customWidth="1"/>
    <col min="16" max="16" width="3.421875" style="50" customWidth="1"/>
    <col min="17" max="20" width="2.7109375" style="50" customWidth="1"/>
    <col min="21" max="21" width="4.00390625" style="50" customWidth="1"/>
    <col min="22" max="23" width="3.140625" style="50" customWidth="1"/>
    <col min="24" max="24" width="3.00390625" style="50" customWidth="1"/>
    <col min="25" max="25" width="2.7109375" style="50" customWidth="1"/>
    <col min="26" max="26" width="3.8515625" style="50" customWidth="1"/>
    <col min="27" max="27" width="2.7109375" style="50" customWidth="1"/>
    <col min="28" max="28" width="2.421875" style="50" customWidth="1"/>
    <col min="29" max="29" width="3.140625" style="50" customWidth="1"/>
    <col min="30" max="30" width="2.7109375" style="50" customWidth="1"/>
    <col min="31" max="31" width="3.28125" style="50" customWidth="1"/>
    <col min="32" max="34" width="2.7109375" style="50" customWidth="1"/>
    <col min="35" max="36" width="4.8515625" style="50" customWidth="1"/>
    <col min="37" max="37" width="0.5625" style="50" customWidth="1"/>
    <col min="38" max="38" width="0.13671875" style="40" customWidth="1"/>
    <col min="39" max="39" width="0.13671875" style="23" customWidth="1"/>
    <col min="40" max="40" width="5.140625" style="23" hidden="1" customWidth="1"/>
    <col min="41" max="41" width="6.00390625" style="50" hidden="1" customWidth="1"/>
    <col min="42" max="42" width="4.57421875" style="50" hidden="1" customWidth="1"/>
    <col min="43" max="45" width="6.28125" style="50" hidden="1" customWidth="1"/>
    <col min="46" max="46" width="4.421875" style="50" hidden="1" customWidth="1"/>
    <col min="47" max="16384" width="11.421875" style="50" hidden="1" customWidth="1"/>
  </cols>
  <sheetData>
    <row r="1" spans="1:37" s="23" customFormat="1" ht="24" customHeight="1">
      <c r="A1" s="45"/>
      <c r="C1" s="224"/>
      <c r="D1" s="224"/>
      <c r="E1" s="224"/>
      <c r="F1" s="46"/>
      <c r="G1" s="46"/>
      <c r="H1" s="46"/>
      <c r="I1" s="46"/>
      <c r="J1" s="46"/>
      <c r="K1" s="46"/>
      <c r="L1" s="230"/>
      <c r="M1" s="46"/>
      <c r="N1" s="47"/>
      <c r="O1" s="46"/>
      <c r="Q1" s="46"/>
      <c r="R1" s="40"/>
      <c r="S1" s="59" t="s">
        <v>153</v>
      </c>
      <c r="T1" s="232"/>
      <c r="U1" s="46"/>
      <c r="Z1" s="40"/>
      <c r="AC1" s="40"/>
      <c r="AD1" s="231"/>
      <c r="AF1" s="939">
        <f>Tasación!Y1</f>
        <v>0</v>
      </c>
      <c r="AG1" s="939"/>
      <c r="AH1" s="939"/>
      <c r="AI1" s="939"/>
      <c r="AJ1" s="939"/>
      <c r="AK1" s="939"/>
    </row>
    <row r="2" spans="5:37" s="27" customFormat="1" ht="12" customHeight="1">
      <c r="E2" s="14" t="s">
        <v>1</v>
      </c>
      <c r="F2" s="27">
        <f>Tasación!P3</f>
        <v>0</v>
      </c>
      <c r="G2" s="233"/>
      <c r="H2" s="233"/>
      <c r="I2" s="233"/>
      <c r="J2" s="233"/>
      <c r="K2" s="233"/>
      <c r="L2" s="233"/>
      <c r="M2" s="233"/>
      <c r="X2" s="187"/>
      <c r="Y2" s="233"/>
      <c r="Z2" s="233"/>
      <c r="AA2" s="233"/>
      <c r="AB2" s="233"/>
      <c r="AC2" s="233"/>
      <c r="AE2" s="187"/>
      <c r="AF2" s="14" t="s">
        <v>26</v>
      </c>
      <c r="AG2" s="941">
        <f>Tasación!Y3</f>
        <v>0</v>
      </c>
      <c r="AH2" s="941"/>
      <c r="AI2" s="941"/>
      <c r="AJ2" s="941"/>
      <c r="AK2" s="233"/>
    </row>
    <row r="3" spans="2:37" s="175" customFormat="1" ht="12" customHeight="1">
      <c r="B3" s="620"/>
      <c r="C3" s="621" t="s">
        <v>133</v>
      </c>
      <c r="D3" s="621"/>
      <c r="E3" s="621"/>
      <c r="F3" s="622"/>
      <c r="G3" s="622"/>
      <c r="H3" s="622"/>
      <c r="I3" s="622"/>
      <c r="J3" s="622"/>
      <c r="K3" s="622"/>
      <c r="L3" s="622"/>
      <c r="M3" s="622"/>
      <c r="N3" s="623"/>
      <c r="O3" s="622"/>
      <c r="P3" s="623"/>
      <c r="Q3" s="622"/>
      <c r="R3" s="622"/>
      <c r="S3" s="622"/>
      <c r="T3" s="622"/>
      <c r="U3" s="622"/>
      <c r="V3" s="624"/>
      <c r="W3" s="625"/>
      <c r="X3" s="622"/>
      <c r="Y3" s="622"/>
      <c r="Z3" s="622"/>
      <c r="AA3" s="622"/>
      <c r="AB3" s="622"/>
      <c r="AC3" s="622"/>
      <c r="AD3" s="622"/>
      <c r="AE3" s="622"/>
      <c r="AF3" s="626"/>
      <c r="AG3" s="630"/>
      <c r="AH3" s="630"/>
      <c r="AI3" s="630"/>
      <c r="AJ3" s="627"/>
      <c r="AK3" s="628"/>
    </row>
    <row r="4" spans="2:37" s="2" customFormat="1" ht="2.25" customHeight="1">
      <c r="B4" s="450"/>
      <c r="C4" s="451"/>
      <c r="D4" s="451"/>
      <c r="E4" s="451"/>
      <c r="F4" s="452"/>
      <c r="G4" s="452"/>
      <c r="H4" s="452"/>
      <c r="I4" s="452"/>
      <c r="J4" s="452"/>
      <c r="K4" s="453"/>
      <c r="L4" s="454"/>
      <c r="M4" s="454"/>
      <c r="N4" s="454"/>
      <c r="O4" s="454"/>
      <c r="P4" s="454"/>
      <c r="Q4" s="454"/>
      <c r="R4" s="454"/>
      <c r="S4" s="454"/>
      <c r="T4" s="454"/>
      <c r="U4" s="454"/>
      <c r="V4" s="454"/>
      <c r="W4" s="454"/>
      <c r="X4" s="454"/>
      <c r="Y4" s="454"/>
      <c r="Z4" s="454"/>
      <c r="AA4" s="454"/>
      <c r="AB4" s="454"/>
      <c r="AC4" s="454"/>
      <c r="AD4" s="454"/>
      <c r="AE4" s="454"/>
      <c r="AF4" s="454"/>
      <c r="AG4" s="454"/>
      <c r="AH4" s="454"/>
      <c r="AI4" s="454"/>
      <c r="AJ4" s="454"/>
      <c r="AK4" s="455"/>
    </row>
    <row r="5" spans="1:41" s="281" customFormat="1" ht="12.75" customHeight="1">
      <c r="A5" s="318"/>
      <c r="B5" s="433"/>
      <c r="C5" s="434" t="s">
        <v>126</v>
      </c>
      <c r="D5" s="434"/>
      <c r="E5" s="434"/>
      <c r="F5" s="435"/>
      <c r="G5" s="363"/>
      <c r="H5" s="435" t="s">
        <v>37</v>
      </c>
      <c r="I5" s="434"/>
      <c r="J5" s="434"/>
      <c r="K5" s="363"/>
      <c r="L5" s="435" t="s">
        <v>38</v>
      </c>
      <c r="M5" s="434"/>
      <c r="N5" s="434"/>
      <c r="O5" s="363"/>
      <c r="P5" s="435" t="s">
        <v>39</v>
      </c>
      <c r="Q5" s="434"/>
      <c r="R5" s="434"/>
      <c r="S5" s="363"/>
      <c r="T5" s="435" t="s">
        <v>40</v>
      </c>
      <c r="U5" s="434"/>
      <c r="V5" s="434"/>
      <c r="W5" s="434"/>
      <c r="X5" s="363"/>
      <c r="Y5" s="435" t="s">
        <v>41</v>
      </c>
      <c r="Z5" s="434"/>
      <c r="AA5" s="434"/>
      <c r="AB5" s="363"/>
      <c r="AC5" s="435" t="s">
        <v>42</v>
      </c>
      <c r="AD5" s="434"/>
      <c r="AE5" s="434"/>
      <c r="AF5" s="363"/>
      <c r="AG5" s="434" t="s">
        <v>177</v>
      </c>
      <c r="AH5" s="434"/>
      <c r="AI5" s="434"/>
      <c r="AJ5" s="434"/>
      <c r="AK5" s="436"/>
      <c r="AL5" s="330"/>
      <c r="AO5" s="530" t="s">
        <v>412</v>
      </c>
    </row>
    <row r="6" spans="2:43" s="364" customFormat="1" ht="12.75" customHeight="1">
      <c r="B6" s="204"/>
      <c r="C6" s="437" t="s">
        <v>426</v>
      </c>
      <c r="D6" s="437"/>
      <c r="E6" s="437"/>
      <c r="F6" s="437"/>
      <c r="G6" s="437"/>
      <c r="H6" s="437"/>
      <c r="I6" s="437"/>
      <c r="J6" s="437"/>
      <c r="K6" s="437"/>
      <c r="L6" s="440" t="s">
        <v>473</v>
      </c>
      <c r="M6" s="682"/>
      <c r="N6" s="437"/>
      <c r="O6" s="437"/>
      <c r="P6" s="437"/>
      <c r="Q6" s="437"/>
      <c r="R6" s="440" t="s">
        <v>263</v>
      </c>
      <c r="S6" s="682"/>
      <c r="T6" s="441"/>
      <c r="U6" s="437"/>
      <c r="V6" s="437"/>
      <c r="W6" s="158"/>
      <c r="X6" s="441" t="s">
        <v>264</v>
      </c>
      <c r="Y6" s="682"/>
      <c r="Z6" s="437"/>
      <c r="AA6" s="437"/>
      <c r="AB6" s="158"/>
      <c r="AC6" s="441" t="s">
        <v>203</v>
      </c>
      <c r="AD6" s="682"/>
      <c r="AE6" s="437"/>
      <c r="AF6" s="158"/>
      <c r="AG6" s="158"/>
      <c r="AH6" s="158"/>
      <c r="AI6" s="441" t="s">
        <v>202</v>
      </c>
      <c r="AJ6" s="682"/>
      <c r="AK6" s="442"/>
      <c r="AL6" s="365"/>
      <c r="AO6" s="364" t="s">
        <v>414</v>
      </c>
      <c r="AP6" s="710">
        <f>IF(M6="SI",2,1)</f>
        <v>1</v>
      </c>
      <c r="AQ6" s="364" t="e">
        <f>VLOOKUP($R$17,Lista!$M$22:$O$24,$AP$6+1,FALSE)</f>
        <v>#N/A</v>
      </c>
    </row>
    <row r="7" spans="2:43" s="365" customFormat="1" ht="12.75" customHeight="1">
      <c r="B7" s="204"/>
      <c r="C7" s="158"/>
      <c r="D7" s="158"/>
      <c r="E7" s="158"/>
      <c r="F7" s="158"/>
      <c r="G7" s="437"/>
      <c r="H7" s="158"/>
      <c r="I7" s="158"/>
      <c r="J7" s="158"/>
      <c r="K7" s="437"/>
      <c r="L7" s="440" t="s">
        <v>201</v>
      </c>
      <c r="M7" s="682"/>
      <c r="N7" s="440"/>
      <c r="O7" s="440"/>
      <c r="P7" s="158"/>
      <c r="Q7" s="158"/>
      <c r="R7" s="441" t="s">
        <v>256</v>
      </c>
      <c r="S7" s="682"/>
      <c r="T7" s="441"/>
      <c r="U7" s="158"/>
      <c r="V7" s="158"/>
      <c r="W7" s="158"/>
      <c r="X7" s="441" t="s">
        <v>55</v>
      </c>
      <c r="Y7" s="682"/>
      <c r="Z7" s="158"/>
      <c r="AA7" s="158"/>
      <c r="AB7" s="158"/>
      <c r="AC7" s="441" t="s">
        <v>235</v>
      </c>
      <c r="AD7" s="933"/>
      <c r="AE7" s="933"/>
      <c r="AF7" s="933"/>
      <c r="AG7" s="933"/>
      <c r="AH7" s="933"/>
      <c r="AI7" s="933"/>
      <c r="AJ7" s="933"/>
      <c r="AK7" s="442"/>
      <c r="AO7" s="365" t="s">
        <v>415</v>
      </c>
      <c r="AQ7" s="364" t="e">
        <f>VLOOKUP($R$17,Lista!$M$30:$O$32,$AP$6+1,FALSE)</f>
        <v>#N/A</v>
      </c>
    </row>
    <row r="8" spans="1:43" s="281" customFormat="1" ht="12.75" customHeight="1">
      <c r="A8" s="318"/>
      <c r="B8" s="433"/>
      <c r="C8" s="437" t="s">
        <v>453</v>
      </c>
      <c r="D8" s="438"/>
      <c r="E8" s="438"/>
      <c r="F8" s="434"/>
      <c r="G8" s="439"/>
      <c r="H8" s="439"/>
      <c r="I8" s="945"/>
      <c r="J8" s="945"/>
      <c r="K8" s="945"/>
      <c r="L8" s="945"/>
      <c r="M8" s="945"/>
      <c r="N8" s="669"/>
      <c r="O8" s="669"/>
      <c r="P8" s="669"/>
      <c r="Q8" s="669"/>
      <c r="S8" s="311" t="s">
        <v>457</v>
      </c>
      <c r="T8" s="945"/>
      <c r="U8" s="945"/>
      <c r="V8" s="945"/>
      <c r="W8" s="945"/>
      <c r="X8" s="945"/>
      <c r="Y8" s="945"/>
      <c r="Z8" s="945"/>
      <c r="AA8" s="434"/>
      <c r="AB8" s="669"/>
      <c r="AD8" s="434"/>
      <c r="AF8" s="441" t="s">
        <v>456</v>
      </c>
      <c r="AG8" s="942"/>
      <c r="AH8" s="942"/>
      <c r="AI8" s="942"/>
      <c r="AJ8" s="681">
        <f>IF(OR($R$17&gt;5,$R$17&lt;3,AG8=0,AG8="No"),0,IF(AG8="Mínimo",$AQ$8,IF(AG8="Máximo",$AQ$7,AQ6)))</f>
        <v>0</v>
      </c>
      <c r="AK8" s="436"/>
      <c r="AL8" s="330"/>
      <c r="AO8" s="281" t="s">
        <v>413</v>
      </c>
      <c r="AQ8" s="364" t="e">
        <f>VLOOKUP($R$17,Lista!$M$26:$O$28,$AP$6+1,FALSE)</f>
        <v>#N/A</v>
      </c>
    </row>
    <row r="9" spans="2:49" s="325" customFormat="1" ht="19.5" customHeight="1">
      <c r="B9" s="75"/>
      <c r="C9" s="443" t="s">
        <v>30</v>
      </c>
      <c r="D9" s="443"/>
      <c r="E9" s="443"/>
      <c r="F9" s="74"/>
      <c r="G9" s="911"/>
      <c r="H9" s="882"/>
      <c r="I9" s="882"/>
      <c r="J9" s="882"/>
      <c r="K9" s="882"/>
      <c r="L9" s="882"/>
      <c r="M9" s="882"/>
      <c r="N9" s="882"/>
      <c r="O9" s="882"/>
      <c r="P9" s="882"/>
      <c r="Q9" s="882"/>
      <c r="R9" s="882"/>
      <c r="S9" s="882"/>
      <c r="T9" s="882"/>
      <c r="U9" s="882"/>
      <c r="V9" s="882"/>
      <c r="W9" s="882"/>
      <c r="X9" s="882"/>
      <c r="Y9" s="882"/>
      <c r="Z9" s="882"/>
      <c r="AA9" s="882"/>
      <c r="AB9" s="882"/>
      <c r="AC9" s="882"/>
      <c r="AD9" s="882"/>
      <c r="AE9" s="882"/>
      <c r="AF9" s="882"/>
      <c r="AG9" s="882"/>
      <c r="AH9" s="882"/>
      <c r="AI9" s="882"/>
      <c r="AJ9" s="882"/>
      <c r="AK9" s="444"/>
      <c r="AL9" s="344"/>
      <c r="AO9" s="434"/>
      <c r="AP9" s="680"/>
      <c r="AW9" s="786"/>
    </row>
    <row r="10" spans="1:38" s="51" customFormat="1" ht="2.25" customHeight="1">
      <c r="A10" s="54"/>
      <c r="B10" s="456"/>
      <c r="C10" s="457"/>
      <c r="D10" s="457"/>
      <c r="E10" s="457"/>
      <c r="F10" s="457"/>
      <c r="G10" s="457"/>
      <c r="H10" s="458"/>
      <c r="I10" s="458"/>
      <c r="J10" s="458"/>
      <c r="K10" s="458"/>
      <c r="L10" s="457"/>
      <c r="M10" s="457"/>
      <c r="N10" s="457"/>
      <c r="O10" s="457"/>
      <c r="P10" s="457"/>
      <c r="Q10" s="457"/>
      <c r="R10" s="459"/>
      <c r="S10" s="460"/>
      <c r="T10" s="460"/>
      <c r="U10" s="460"/>
      <c r="V10" s="457"/>
      <c r="W10" s="457"/>
      <c r="X10" s="457"/>
      <c r="Y10" s="459"/>
      <c r="Z10" s="458"/>
      <c r="AA10" s="458"/>
      <c r="AB10" s="458"/>
      <c r="AC10" s="457"/>
      <c r="AD10" s="457"/>
      <c r="AE10" s="457"/>
      <c r="AF10" s="457"/>
      <c r="AG10" s="459"/>
      <c r="AH10" s="461"/>
      <c r="AI10" s="461"/>
      <c r="AJ10" s="461"/>
      <c r="AK10" s="462"/>
      <c r="AL10" s="7"/>
    </row>
    <row r="11" spans="2:49" s="175" customFormat="1" ht="12" customHeight="1">
      <c r="B11" s="620"/>
      <c r="C11" s="621" t="s">
        <v>137</v>
      </c>
      <c r="D11" s="621"/>
      <c r="E11" s="621"/>
      <c r="F11" s="622"/>
      <c r="G11" s="622"/>
      <c r="H11" s="622"/>
      <c r="I11" s="622"/>
      <c r="J11" s="622"/>
      <c r="K11" s="622"/>
      <c r="L11" s="622"/>
      <c r="M11" s="622"/>
      <c r="N11" s="623"/>
      <c r="O11" s="622"/>
      <c r="P11" s="623">
        <v>1</v>
      </c>
      <c r="Q11" s="622"/>
      <c r="R11" s="622"/>
      <c r="S11" s="622"/>
      <c r="T11" s="622"/>
      <c r="U11" s="622"/>
      <c r="V11" s="624"/>
      <c r="W11" s="625"/>
      <c r="X11" s="622"/>
      <c r="Y11" s="622"/>
      <c r="Z11" s="622"/>
      <c r="AA11" s="622"/>
      <c r="AB11" s="622"/>
      <c r="AC11" s="622"/>
      <c r="AD11" s="622"/>
      <c r="AE11" s="622"/>
      <c r="AF11" s="662" t="s">
        <v>44</v>
      </c>
      <c r="AG11" s="938">
        <f>Tasación!T45</f>
        <v>0</v>
      </c>
      <c r="AH11" s="938"/>
      <c r="AI11" s="938"/>
      <c r="AJ11" s="637" t="s">
        <v>16</v>
      </c>
      <c r="AK11" s="628"/>
      <c r="AO11" s="175" t="s">
        <v>75</v>
      </c>
      <c r="AP11" s="175" t="s">
        <v>458</v>
      </c>
      <c r="AU11" s="735" t="s">
        <v>494</v>
      </c>
      <c r="AW11" s="175" t="s">
        <v>500</v>
      </c>
    </row>
    <row r="12" spans="2:47" s="23" customFormat="1" ht="2.25" customHeight="1">
      <c r="B12" s="463"/>
      <c r="C12" s="464"/>
      <c r="D12" s="464"/>
      <c r="E12" s="464"/>
      <c r="F12" s="105"/>
      <c r="G12" s="105"/>
      <c r="H12" s="105"/>
      <c r="I12" s="105"/>
      <c r="J12" s="105"/>
      <c r="K12" s="465"/>
      <c r="L12" s="466"/>
      <c r="M12" s="466"/>
      <c r="N12" s="466"/>
      <c r="O12" s="466"/>
      <c r="P12" s="466"/>
      <c r="Q12" s="466"/>
      <c r="R12" s="466"/>
      <c r="S12" s="466"/>
      <c r="T12" s="466"/>
      <c r="U12" s="466"/>
      <c r="V12" s="466"/>
      <c r="W12" s="466"/>
      <c r="X12" s="466"/>
      <c r="Y12" s="466"/>
      <c r="Z12" s="466"/>
      <c r="AA12" s="466"/>
      <c r="AB12" s="466"/>
      <c r="AC12" s="466"/>
      <c r="AD12" s="466"/>
      <c r="AE12" s="466"/>
      <c r="AF12" s="466"/>
      <c r="AG12" s="466"/>
      <c r="AH12" s="466"/>
      <c r="AI12" s="466"/>
      <c r="AJ12" s="466"/>
      <c r="AK12" s="467"/>
      <c r="AU12" s="736"/>
    </row>
    <row r="13" spans="2:49" s="322" customFormat="1" ht="12.75" customHeight="1">
      <c r="B13" s="253"/>
      <c r="C13" s="435"/>
      <c r="D13" s="405"/>
      <c r="E13" s="480" t="s">
        <v>45</v>
      </c>
      <c r="F13" s="936"/>
      <c r="G13" s="936"/>
      <c r="H13" s="936"/>
      <c r="I13" s="936"/>
      <c r="J13" s="936"/>
      <c r="K13" s="936"/>
      <c r="L13" s="936"/>
      <c r="M13" s="936"/>
      <c r="N13" s="936"/>
      <c r="O13" s="936"/>
      <c r="P13" s="936"/>
      <c r="Q13" s="936"/>
      <c r="R13" s="936"/>
      <c r="S13" s="936"/>
      <c r="T13" s="936"/>
      <c r="U13" s="936"/>
      <c r="V13" s="936"/>
      <c r="W13" s="936"/>
      <c r="X13" s="936"/>
      <c r="Y13" s="435"/>
      <c r="Z13" s="379"/>
      <c r="AA13" s="379" t="s">
        <v>5</v>
      </c>
      <c r="AB13" s="933"/>
      <c r="AC13" s="933"/>
      <c r="AD13" s="933"/>
      <c r="AE13" s="933"/>
      <c r="AF13" s="933"/>
      <c r="AG13" s="933"/>
      <c r="AH13" s="933"/>
      <c r="AI13" s="933"/>
      <c r="AJ13" s="933"/>
      <c r="AK13" s="445"/>
      <c r="AO13" s="322">
        <f>Tasación!AA10</f>
        <v>0</v>
      </c>
      <c r="AQ13" s="322">
        <f>IF(OR(AO13="Xp",AO13="XI",AO13="XII"),1.38,1)</f>
        <v>1</v>
      </c>
      <c r="AU13" s="737">
        <f>IF(Tasación!E3&lt;&gt;"TASACION SUBSIDIO",1,0)</f>
        <v>1</v>
      </c>
      <c r="AW13" s="784">
        <f>Tasación!T51</f>
        <v>0</v>
      </c>
    </row>
    <row r="14" spans="1:49" s="325" customFormat="1" ht="12.75" customHeight="1">
      <c r="A14" s="322"/>
      <c r="B14" s="433"/>
      <c r="C14" s="434"/>
      <c r="D14" s="434"/>
      <c r="E14" s="311" t="s">
        <v>238</v>
      </c>
      <c r="F14" s="600">
        <f>Tasación!N45</f>
        <v>0</v>
      </c>
      <c r="G14" s="582"/>
      <c r="H14" s="582"/>
      <c r="I14" s="582"/>
      <c r="J14" s="582"/>
      <c r="K14" s="583" t="s">
        <v>46</v>
      </c>
      <c r="L14" s="932"/>
      <c r="M14" s="932"/>
      <c r="N14" s="932"/>
      <c r="O14" s="932"/>
      <c r="P14" s="582"/>
      <c r="Q14" s="582"/>
      <c r="R14" s="582"/>
      <c r="S14" s="583" t="s">
        <v>124</v>
      </c>
      <c r="T14" s="585"/>
      <c r="U14" s="940"/>
      <c r="V14" s="940"/>
      <c r="W14" s="940"/>
      <c r="X14" s="940"/>
      <c r="Y14" s="582"/>
      <c r="Z14" s="582"/>
      <c r="AA14" s="583" t="s">
        <v>121</v>
      </c>
      <c r="AB14" s="940"/>
      <c r="AC14" s="940"/>
      <c r="AD14" s="940"/>
      <c r="AE14" s="603" t="s">
        <v>35</v>
      </c>
      <c r="AF14" s="940"/>
      <c r="AG14" s="940"/>
      <c r="AH14" s="940"/>
      <c r="AI14" s="940"/>
      <c r="AJ14" s="940"/>
      <c r="AK14" s="444"/>
      <c r="AL14" s="344"/>
      <c r="AN14" s="322"/>
      <c r="AO14" s="483" t="s">
        <v>22</v>
      </c>
      <c r="AP14" s="581"/>
      <c r="AQ14" s="483"/>
      <c r="AR14" s="483" t="s">
        <v>21</v>
      </c>
      <c r="AS14" s="483" t="s">
        <v>419</v>
      </c>
      <c r="AT14" s="483" t="s">
        <v>420</v>
      </c>
      <c r="AV14" s="326" t="s">
        <v>501</v>
      </c>
      <c r="AW14" s="787">
        <f>IF(AND(OR(J17="C",J17="D"),$AW$13&lt;30),1.1,1)</f>
        <v>1</v>
      </c>
    </row>
    <row r="15" spans="1:49" s="325" customFormat="1" ht="12.75" customHeight="1">
      <c r="A15" s="322"/>
      <c r="B15" s="481" t="s">
        <v>443</v>
      </c>
      <c r="C15" s="434"/>
      <c r="D15" s="482"/>
      <c r="E15" s="482"/>
      <c r="F15" s="582"/>
      <c r="G15" s="346"/>
      <c r="H15" s="582"/>
      <c r="I15" s="582"/>
      <c r="J15" s="583" t="s">
        <v>47</v>
      </c>
      <c r="K15" s="934"/>
      <c r="L15" s="934"/>
      <c r="M15" s="934"/>
      <c r="N15" s="934"/>
      <c r="O15" s="934"/>
      <c r="P15" s="582"/>
      <c r="U15" s="583" t="s">
        <v>257</v>
      </c>
      <c r="V15" s="600">
        <f>Tasación!M45</f>
        <v>0</v>
      </c>
      <c r="W15" s="601">
        <f>IF(V15=0,0,VLOOKUP(V15,Lista!$A$2:$B$6,2,FALSE))</f>
        <v>0</v>
      </c>
      <c r="Z15" s="601"/>
      <c r="AA15" s="601"/>
      <c r="AB15" s="601"/>
      <c r="AE15" s="480" t="s">
        <v>184</v>
      </c>
      <c r="AF15" s="584"/>
      <c r="AG15" s="615"/>
      <c r="AH15" s="582"/>
      <c r="AI15" s="608" t="s">
        <v>468</v>
      </c>
      <c r="AJ15" s="607">
        <f>Tasación!O45</f>
        <v>0</v>
      </c>
      <c r="AK15" s="446"/>
      <c r="AL15" s="344"/>
      <c r="AO15" s="567">
        <f>IF(V15=0,1,VLOOKUP(V15,Lista!$A$2:$C$6,3,FALSE))</f>
        <v>1</v>
      </c>
      <c r="AR15" s="561">
        <f>Tasación!S45</f>
        <v>0</v>
      </c>
      <c r="AS15" s="568">
        <f>Tasación!P45</f>
        <v>1</v>
      </c>
      <c r="AT15" s="568">
        <f>Tasación!Q45</f>
        <v>1</v>
      </c>
      <c r="AV15" s="326" t="s">
        <v>502</v>
      </c>
      <c r="AW15" s="787">
        <f>IF(AND(OR(J17="E",J17="H"),$AW$13&lt;30),1.2,1)</f>
        <v>1</v>
      </c>
    </row>
    <row r="16" spans="1:49" s="325" customFormat="1" ht="12.75" customHeight="1" thickBot="1">
      <c r="A16" s="322"/>
      <c r="B16" s="433"/>
      <c r="C16" s="434"/>
      <c r="D16" s="434"/>
      <c r="E16" s="480" t="s">
        <v>48</v>
      </c>
      <c r="F16" s="616"/>
      <c r="G16" s="472"/>
      <c r="H16" s="617"/>
      <c r="I16" s="582"/>
      <c r="J16" s="480" t="s">
        <v>49</v>
      </c>
      <c r="K16" s="616"/>
      <c r="L16" s="472"/>
      <c r="M16" s="480" t="s">
        <v>50</v>
      </c>
      <c r="N16" s="616"/>
      <c r="O16" s="472"/>
      <c r="P16" s="582"/>
      <c r="Q16" s="480" t="s">
        <v>51</v>
      </c>
      <c r="R16" s="616"/>
      <c r="S16" s="582"/>
      <c r="T16" s="472"/>
      <c r="U16" s="618"/>
      <c r="V16" s="480" t="s">
        <v>239</v>
      </c>
      <c r="W16" s="616"/>
      <c r="X16" s="582"/>
      <c r="Y16" s="582"/>
      <c r="Z16" s="480" t="s">
        <v>52</v>
      </c>
      <c r="AA16" s="616"/>
      <c r="AB16" s="582"/>
      <c r="AC16" s="480" t="s">
        <v>53</v>
      </c>
      <c r="AD16" s="616"/>
      <c r="AE16" s="582"/>
      <c r="AF16" s="480" t="s">
        <v>207</v>
      </c>
      <c r="AG16" s="943"/>
      <c r="AH16" s="943"/>
      <c r="AI16" s="943"/>
      <c r="AJ16" s="943"/>
      <c r="AK16" s="444"/>
      <c r="AL16" s="322"/>
      <c r="AP16" s="586" t="s">
        <v>427</v>
      </c>
      <c r="AQ16" s="587">
        <f>IF(J17=0,0,VLOOKUP(J17,Lista!$E$2:$H$12,4,FALSE))</f>
        <v>0</v>
      </c>
      <c r="AW16" s="789">
        <f>MAX(AW14:AW15)</f>
        <v>1</v>
      </c>
    </row>
    <row r="17" spans="1:41" s="358" customFormat="1" ht="12.75" customHeight="1">
      <c r="A17" s="357"/>
      <c r="B17" s="565" t="s">
        <v>240</v>
      </c>
      <c r="C17" s="484"/>
      <c r="D17" s="566"/>
      <c r="E17" s="566"/>
      <c r="F17" s="604"/>
      <c r="G17" s="604"/>
      <c r="H17" s="604"/>
      <c r="I17" s="605" t="s">
        <v>54</v>
      </c>
      <c r="J17" s="606">
        <f>Tasación!K45</f>
        <v>0</v>
      </c>
      <c r="K17" s="601">
        <f>IF(J17=0,0,VLOOKUP(J17,Lista!$E$2:$F$14,2,FALSE))</f>
        <v>0</v>
      </c>
      <c r="L17" s="601"/>
      <c r="M17" s="601"/>
      <c r="N17" s="601"/>
      <c r="O17" s="601"/>
      <c r="P17" s="604"/>
      <c r="Q17" s="605" t="s">
        <v>47</v>
      </c>
      <c r="R17" s="600">
        <f>Tasación!L45</f>
        <v>0</v>
      </c>
      <c r="S17" s="601">
        <f>IF(OR(R17=0,R17&gt;6),0,CHOOSE(R17,"SUPERIOR","BUENA","CORRIENTE","REGULAR","INFERIOR","DEFICIENTE"))</f>
        <v>0</v>
      </c>
      <c r="T17" s="601"/>
      <c r="U17" s="601"/>
      <c r="V17" s="604"/>
      <c r="W17" s="605" t="s">
        <v>495</v>
      </c>
      <c r="X17" s="607">
        <f>IF(AR15=0,0,VLOOKUP(AR15,Lista!$M$2:$N$8,2,FALSE))</f>
        <v>0</v>
      </c>
      <c r="Y17" s="604"/>
      <c r="Z17" s="605"/>
      <c r="AB17" s="607"/>
      <c r="AC17" s="739"/>
      <c r="AD17" s="740"/>
      <c r="AE17" s="740"/>
      <c r="AF17" s="799" t="s">
        <v>470</v>
      </c>
      <c r="AG17" s="944">
        <f>IF(OR(J17=0,R17=0,R17&lt;3,R17&gt;5),0,VLOOKUP(J17,Lista!$A$21:$J$29,R17+AO17))*$AQ$13</f>
        <v>0</v>
      </c>
      <c r="AH17" s="944"/>
      <c r="AI17" s="738" t="s">
        <v>497</v>
      </c>
      <c r="AJ17" s="742">
        <f>ROUND(AG17*(1-Z19/100)*AO15,2)</f>
        <v>0</v>
      </c>
      <c r="AK17" s="743"/>
      <c r="AL17" s="744"/>
      <c r="AM17" s="359"/>
      <c r="AO17" s="709">
        <f>IF(F14&lt;3,-1,IF($AP$6=2,5,2))</f>
        <v>-1</v>
      </c>
    </row>
    <row r="18" spans="1:41" s="358" customFormat="1" ht="12.75" customHeight="1">
      <c r="A18" s="357"/>
      <c r="B18" s="104"/>
      <c r="C18" s="517"/>
      <c r="D18" s="484"/>
      <c r="E18" s="484"/>
      <c r="F18" s="604"/>
      <c r="G18" s="604"/>
      <c r="H18" s="609" t="s">
        <v>424</v>
      </c>
      <c r="I18" s="607" t="str">
        <f>VLOOKUP(AS15,Lista!$J$2:$K$10,2)</f>
        <v>SIN REMOZ. NI DETERIORO</v>
      </c>
      <c r="J18" s="607"/>
      <c r="K18" s="607"/>
      <c r="L18" s="607"/>
      <c r="M18" s="607"/>
      <c r="N18" s="607"/>
      <c r="O18" s="607"/>
      <c r="P18" s="604"/>
      <c r="Q18" s="604"/>
      <c r="R18" s="610"/>
      <c r="S18" s="610"/>
      <c r="T18" s="611" t="s">
        <v>422</v>
      </c>
      <c r="U18" s="612">
        <f ca="1">IF(AJ15=0,0,YEAR(TODAY())-AJ15)</f>
        <v>0</v>
      </c>
      <c r="W18" s="610"/>
      <c r="X18" s="485"/>
      <c r="Y18" s="485" t="s">
        <v>496</v>
      </c>
      <c r="Z18" s="613">
        <f>IF(J17=0,0,VLOOKUP(J17,Lista!$E$2:$G$12,3,FALSE))</f>
        <v>0</v>
      </c>
      <c r="AA18" s="604" t="s">
        <v>250</v>
      </c>
      <c r="AC18" s="745"/>
      <c r="AD18" s="360"/>
      <c r="AE18" s="360"/>
      <c r="AF18" s="360"/>
      <c r="AG18" s="360"/>
      <c r="AH18" s="360"/>
      <c r="AI18" s="361" t="s">
        <v>524</v>
      </c>
      <c r="AJ18" s="746">
        <f>ROUND(AO18*(1-Z19/100)*AO15,2)</f>
        <v>0</v>
      </c>
      <c r="AK18" s="447"/>
      <c r="AL18" s="747"/>
      <c r="AO18" s="708">
        <f>IF(OR(J17=0,R17=0,R17&lt;3,R17&gt;5),0,VLOOKUP(J17,Lista!$A$38:$J$48,R17+AO17))*$AQ$13</f>
        <v>0</v>
      </c>
    </row>
    <row r="19" spans="1:42" s="358" customFormat="1" ht="12.75" customHeight="1" thickBot="1">
      <c r="A19" s="357"/>
      <c r="B19" s="104"/>
      <c r="C19" s="517"/>
      <c r="E19" s="484"/>
      <c r="F19" s="604"/>
      <c r="G19" s="604"/>
      <c r="H19" s="609" t="s">
        <v>425</v>
      </c>
      <c r="I19" s="607" t="str">
        <f>VLOOKUP(AT15,Lista!$J$2:$K$10,2)</f>
        <v>SIN REMOZ. NI DETERIORO</v>
      </c>
      <c r="J19" s="607"/>
      <c r="K19" s="607"/>
      <c r="L19" s="607"/>
      <c r="M19" s="607"/>
      <c r="N19" s="607"/>
      <c r="O19" s="614"/>
      <c r="P19" s="610"/>
      <c r="Q19" s="610"/>
      <c r="R19" s="610"/>
      <c r="S19" s="610"/>
      <c r="T19" s="609" t="s">
        <v>421</v>
      </c>
      <c r="U19" s="599">
        <f>INT(IF(OR(AJ15=0,R17&lt;3,R17&gt;5),U18,CHOOSE(R17-2,U18*(0.5148+0.3539*AS15+0.1313*AT15),U18*(0.5514+0.3025*AS15+0.1461*AT15),U18*(0.6432+0.208*AS15+0.1488*AT15))))</f>
        <v>0</v>
      </c>
      <c r="V19" s="604"/>
      <c r="W19" s="610"/>
      <c r="X19" s="610"/>
      <c r="Y19" s="485" t="s">
        <v>421</v>
      </c>
      <c r="Z19" s="537">
        <f>IF(Z18*U19&gt;AQ16,AQ16,Z18*U19)</f>
        <v>0</v>
      </c>
      <c r="AA19" s="604" t="s">
        <v>250</v>
      </c>
      <c r="AC19" s="748"/>
      <c r="AD19" s="749"/>
      <c r="AE19" s="749"/>
      <c r="AF19" s="750"/>
      <c r="AG19" s="751"/>
      <c r="AH19" s="750"/>
      <c r="AI19" s="752" t="s">
        <v>492</v>
      </c>
      <c r="AJ19" s="753">
        <f>IF($AU$13=0,AJ17,0)</f>
        <v>0</v>
      </c>
      <c r="AK19" s="754"/>
      <c r="AL19" s="755"/>
      <c r="AP19" s="788"/>
    </row>
    <row r="20" spans="1:41" s="358" customFormat="1" ht="12.75" customHeight="1">
      <c r="A20" s="357"/>
      <c r="B20" s="486" t="s">
        <v>241</v>
      </c>
      <c r="C20" s="434"/>
      <c r="D20" s="487"/>
      <c r="E20" s="487"/>
      <c r="F20" s="488"/>
      <c r="G20" s="488"/>
      <c r="H20" s="488"/>
      <c r="I20" s="488"/>
      <c r="J20" s="488"/>
      <c r="K20" s="488"/>
      <c r="L20" s="488"/>
      <c r="M20" s="105"/>
      <c r="N20" s="488"/>
      <c r="O20" s="484"/>
      <c r="P20" s="434"/>
      <c r="Q20" s="311"/>
      <c r="R20" s="480" t="s">
        <v>179</v>
      </c>
      <c r="S20" s="936"/>
      <c r="T20" s="936"/>
      <c r="U20" s="936"/>
      <c r="V20" s="936"/>
      <c r="W20" s="936"/>
      <c r="X20" s="936"/>
      <c r="Y20" s="936"/>
      <c r="Z20" s="936"/>
      <c r="AA20" s="434"/>
      <c r="AB20" s="434"/>
      <c r="AC20" s="480" t="s">
        <v>178</v>
      </c>
      <c r="AD20" s="935"/>
      <c r="AE20" s="935"/>
      <c r="AF20" s="935"/>
      <c r="AG20" s="935"/>
      <c r="AH20" s="935"/>
      <c r="AI20" s="935"/>
      <c r="AJ20" s="935"/>
      <c r="AK20" s="448"/>
      <c r="AL20" s="360"/>
      <c r="AO20" s="518"/>
    </row>
    <row r="21" spans="1:38" s="325" customFormat="1" ht="12.75" customHeight="1">
      <c r="A21" s="322"/>
      <c r="B21" s="433"/>
      <c r="C21" s="434"/>
      <c r="D21" s="434"/>
      <c r="E21" s="434"/>
      <c r="F21" s="379" t="s">
        <v>112</v>
      </c>
      <c r="G21" s="936"/>
      <c r="H21" s="936"/>
      <c r="I21" s="936"/>
      <c r="J21" s="936"/>
      <c r="K21" s="936"/>
      <c r="L21" s="936"/>
      <c r="M21" s="936"/>
      <c r="N21" s="936"/>
      <c r="O21" s="379"/>
      <c r="P21" s="434"/>
      <c r="Q21" s="379"/>
      <c r="R21" s="379" t="s">
        <v>107</v>
      </c>
      <c r="S21" s="936"/>
      <c r="T21" s="936"/>
      <c r="U21" s="936"/>
      <c r="V21" s="936"/>
      <c r="W21" s="936"/>
      <c r="X21" s="936"/>
      <c r="Y21" s="936"/>
      <c r="Z21" s="936"/>
      <c r="AA21" s="379"/>
      <c r="AB21" s="379"/>
      <c r="AC21" s="379" t="s">
        <v>108</v>
      </c>
      <c r="AD21" s="935"/>
      <c r="AE21" s="935"/>
      <c r="AF21" s="935"/>
      <c r="AG21" s="935"/>
      <c r="AH21" s="935"/>
      <c r="AI21" s="935"/>
      <c r="AJ21" s="935"/>
      <c r="AK21" s="444"/>
      <c r="AL21" s="344"/>
    </row>
    <row r="22" spans="1:41" s="325" customFormat="1" ht="12.75" customHeight="1">
      <c r="A22" s="322"/>
      <c r="B22" s="433"/>
      <c r="C22" s="434"/>
      <c r="D22" s="434"/>
      <c r="E22" s="434"/>
      <c r="F22" s="379" t="s">
        <v>180</v>
      </c>
      <c r="G22" s="936"/>
      <c r="H22" s="936"/>
      <c r="I22" s="936"/>
      <c r="J22" s="936"/>
      <c r="K22" s="936"/>
      <c r="L22" s="936"/>
      <c r="M22" s="936"/>
      <c r="N22" s="936"/>
      <c r="O22" s="379"/>
      <c r="P22" s="434"/>
      <c r="Q22" s="379"/>
      <c r="R22" s="379" t="s">
        <v>114</v>
      </c>
      <c r="S22" s="936"/>
      <c r="T22" s="936"/>
      <c r="U22" s="936"/>
      <c r="V22" s="936"/>
      <c r="W22" s="936"/>
      <c r="X22" s="936"/>
      <c r="Y22" s="936"/>
      <c r="Z22" s="936"/>
      <c r="AA22" s="379"/>
      <c r="AB22" s="379"/>
      <c r="AC22" s="379" t="s">
        <v>113</v>
      </c>
      <c r="AD22" s="935"/>
      <c r="AE22" s="935"/>
      <c r="AF22" s="935"/>
      <c r="AG22" s="935"/>
      <c r="AH22" s="935"/>
      <c r="AI22" s="935"/>
      <c r="AJ22" s="935"/>
      <c r="AK22" s="444"/>
      <c r="AL22" s="344"/>
      <c r="AO22" s="531"/>
    </row>
    <row r="23" spans="1:41" s="325" customFormat="1" ht="12.75" customHeight="1">
      <c r="A23" s="322"/>
      <c r="B23" s="433"/>
      <c r="C23" s="434"/>
      <c r="D23" s="434"/>
      <c r="E23" s="434"/>
      <c r="F23" s="379" t="s">
        <v>111</v>
      </c>
      <c r="G23" s="936"/>
      <c r="H23" s="936"/>
      <c r="I23" s="936"/>
      <c r="J23" s="936"/>
      <c r="K23" s="936"/>
      <c r="L23" s="936"/>
      <c r="M23" s="936"/>
      <c r="N23" s="936"/>
      <c r="O23" s="379"/>
      <c r="P23" s="434"/>
      <c r="Q23" s="379"/>
      <c r="R23" s="379" t="s">
        <v>115</v>
      </c>
      <c r="S23" s="936"/>
      <c r="T23" s="936"/>
      <c r="U23" s="936"/>
      <c r="V23" s="936"/>
      <c r="W23" s="936"/>
      <c r="X23" s="936"/>
      <c r="Y23" s="936"/>
      <c r="Z23" s="936"/>
      <c r="AA23" s="379"/>
      <c r="AB23" s="379"/>
      <c r="AC23" s="379" t="s">
        <v>199</v>
      </c>
      <c r="AD23" s="935"/>
      <c r="AE23" s="935"/>
      <c r="AF23" s="935"/>
      <c r="AG23" s="935"/>
      <c r="AH23" s="935"/>
      <c r="AI23" s="935"/>
      <c r="AJ23" s="935"/>
      <c r="AK23" s="444"/>
      <c r="AL23" s="344"/>
      <c r="AO23" s="531"/>
    </row>
    <row r="24" spans="1:38" s="325" customFormat="1" ht="12.75" customHeight="1">
      <c r="A24" s="322"/>
      <c r="B24" s="433"/>
      <c r="C24" s="434"/>
      <c r="D24" s="434"/>
      <c r="E24" s="434"/>
      <c r="F24" s="379" t="s">
        <v>110</v>
      </c>
      <c r="G24" s="936"/>
      <c r="H24" s="936"/>
      <c r="I24" s="936"/>
      <c r="J24" s="936"/>
      <c r="K24" s="936"/>
      <c r="L24" s="936"/>
      <c r="M24" s="936"/>
      <c r="N24" s="936"/>
      <c r="O24" s="379"/>
      <c r="P24" s="434"/>
      <c r="Q24" s="379"/>
      <c r="R24" s="379" t="s">
        <v>109</v>
      </c>
      <c r="S24" s="936"/>
      <c r="T24" s="936"/>
      <c r="U24" s="936"/>
      <c r="V24" s="936"/>
      <c r="W24" s="936"/>
      <c r="X24" s="936"/>
      <c r="Y24" s="936"/>
      <c r="Z24" s="936"/>
      <c r="AA24" s="379"/>
      <c r="AB24" s="379"/>
      <c r="AC24" s="379" t="s">
        <v>200</v>
      </c>
      <c r="AD24" s="935"/>
      <c r="AE24" s="935"/>
      <c r="AF24" s="935"/>
      <c r="AG24" s="935"/>
      <c r="AH24" s="935"/>
      <c r="AI24" s="935"/>
      <c r="AJ24" s="935"/>
      <c r="AK24" s="444"/>
      <c r="AL24" s="344"/>
    </row>
    <row r="25" spans="1:41" s="325" customFormat="1" ht="12.75" customHeight="1">
      <c r="A25" s="322"/>
      <c r="B25" s="433"/>
      <c r="C25" s="434"/>
      <c r="D25" s="434"/>
      <c r="E25" s="434"/>
      <c r="F25" s="379" t="s">
        <v>89</v>
      </c>
      <c r="G25" s="946"/>
      <c r="H25" s="946"/>
      <c r="I25" s="946"/>
      <c r="J25" s="947"/>
      <c r="K25" s="947"/>
      <c r="L25" s="946"/>
      <c r="M25" s="946"/>
      <c r="N25" s="946"/>
      <c r="O25" s="311"/>
      <c r="P25" s="434"/>
      <c r="Q25" s="311"/>
      <c r="R25" s="311" t="s">
        <v>36</v>
      </c>
      <c r="S25" s="946"/>
      <c r="T25" s="946"/>
      <c r="U25" s="946"/>
      <c r="V25" s="946"/>
      <c r="W25" s="946"/>
      <c r="X25" s="946"/>
      <c r="Y25" s="946"/>
      <c r="Z25" s="946"/>
      <c r="AA25" s="946"/>
      <c r="AB25" s="490"/>
      <c r="AC25" s="311" t="s">
        <v>116</v>
      </c>
      <c r="AD25" s="935"/>
      <c r="AE25" s="935"/>
      <c r="AF25" s="935"/>
      <c r="AG25" s="935"/>
      <c r="AH25" s="935"/>
      <c r="AI25" s="935"/>
      <c r="AJ25" s="935"/>
      <c r="AK25" s="444"/>
      <c r="AL25" s="344"/>
      <c r="AO25" s="564"/>
    </row>
    <row r="26" spans="2:38" s="325" customFormat="1" ht="19.5" customHeight="1">
      <c r="B26" s="75"/>
      <c r="C26" s="79"/>
      <c r="D26" s="443"/>
      <c r="E26" s="443"/>
      <c r="F26" s="432" t="s">
        <v>117</v>
      </c>
      <c r="G26" s="882"/>
      <c r="H26" s="882"/>
      <c r="I26" s="882"/>
      <c r="J26" s="882"/>
      <c r="K26" s="882"/>
      <c r="L26" s="882"/>
      <c r="M26" s="882"/>
      <c r="N26" s="882"/>
      <c r="O26" s="882"/>
      <c r="P26" s="882"/>
      <c r="Q26" s="882"/>
      <c r="R26" s="882"/>
      <c r="S26" s="882"/>
      <c r="T26" s="882"/>
      <c r="U26" s="882"/>
      <c r="V26" s="882"/>
      <c r="W26" s="882"/>
      <c r="X26" s="882"/>
      <c r="Y26" s="882"/>
      <c r="Z26" s="882"/>
      <c r="AA26" s="882"/>
      <c r="AB26" s="882"/>
      <c r="AC26" s="882"/>
      <c r="AD26" s="882"/>
      <c r="AE26" s="882"/>
      <c r="AF26" s="882"/>
      <c r="AG26" s="882"/>
      <c r="AH26" s="882"/>
      <c r="AI26" s="882"/>
      <c r="AJ26" s="882"/>
      <c r="AK26" s="444"/>
      <c r="AL26" s="344"/>
    </row>
    <row r="27" spans="1:38" s="51" customFormat="1" ht="2.25" customHeight="1">
      <c r="A27" s="2"/>
      <c r="B27" s="468"/>
      <c r="C27" s="457"/>
      <c r="D27" s="457"/>
      <c r="E27" s="457"/>
      <c r="F27" s="457"/>
      <c r="G27" s="457"/>
      <c r="H27" s="457"/>
      <c r="I27" s="457"/>
      <c r="J27" s="457"/>
      <c r="K27" s="457"/>
      <c r="L27" s="457"/>
      <c r="M27" s="457"/>
      <c r="N27" s="457"/>
      <c r="O27" s="457"/>
      <c r="P27" s="457"/>
      <c r="Q27" s="457"/>
      <c r="R27" s="457"/>
      <c r="S27" s="457"/>
      <c r="T27" s="457"/>
      <c r="U27" s="457"/>
      <c r="V27" s="457"/>
      <c r="W27" s="457"/>
      <c r="X27" s="457"/>
      <c r="Y27" s="457"/>
      <c r="Z27" s="457"/>
      <c r="AA27" s="457"/>
      <c r="AB27" s="469"/>
      <c r="AC27" s="470"/>
      <c r="AD27" s="457"/>
      <c r="AE27" s="457"/>
      <c r="AF27" s="457"/>
      <c r="AG27" s="461"/>
      <c r="AH27" s="457"/>
      <c r="AI27" s="457"/>
      <c r="AJ27" s="457"/>
      <c r="AK27" s="462"/>
      <c r="AL27" s="7"/>
    </row>
    <row r="28" spans="2:37" s="175" customFormat="1" ht="12" customHeight="1">
      <c r="B28" s="620"/>
      <c r="C28" s="621" t="s">
        <v>137</v>
      </c>
      <c r="D28" s="621"/>
      <c r="E28" s="621"/>
      <c r="F28" s="622"/>
      <c r="G28" s="622"/>
      <c r="H28" s="622"/>
      <c r="I28" s="622"/>
      <c r="J28" s="622"/>
      <c r="K28" s="622"/>
      <c r="L28" s="622"/>
      <c r="M28" s="622"/>
      <c r="N28" s="623"/>
      <c r="O28" s="622"/>
      <c r="P28" s="623">
        <v>2</v>
      </c>
      <c r="Q28" s="622"/>
      <c r="R28" s="622"/>
      <c r="S28" s="622"/>
      <c r="T28" s="622"/>
      <c r="U28" s="622"/>
      <c r="V28" s="624"/>
      <c r="W28" s="625"/>
      <c r="X28" s="622"/>
      <c r="Y28" s="629"/>
      <c r="Z28" s="629"/>
      <c r="AA28" s="629"/>
      <c r="AB28" s="629"/>
      <c r="AC28" s="629"/>
      <c r="AD28" s="629"/>
      <c r="AE28" s="622"/>
      <c r="AF28" s="662" t="s">
        <v>44</v>
      </c>
      <c r="AG28" s="938">
        <f>Tasación!T46</f>
        <v>0</v>
      </c>
      <c r="AH28" s="938"/>
      <c r="AI28" s="938"/>
      <c r="AJ28" s="637" t="s">
        <v>16</v>
      </c>
      <c r="AK28" s="628"/>
    </row>
    <row r="29" spans="2:37" s="23" customFormat="1" ht="2.25" customHeight="1">
      <c r="B29" s="463"/>
      <c r="C29" s="464"/>
      <c r="D29" s="464"/>
      <c r="E29" s="464"/>
      <c r="F29" s="105"/>
      <c r="G29" s="105"/>
      <c r="H29" s="105"/>
      <c r="I29" s="105"/>
      <c r="J29" s="105"/>
      <c r="K29" s="465"/>
      <c r="L29" s="466"/>
      <c r="M29" s="466"/>
      <c r="N29" s="466"/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466"/>
      <c r="AI29" s="466"/>
      <c r="AJ29" s="466"/>
      <c r="AK29" s="467"/>
    </row>
    <row r="30" spans="2:49" s="322" customFormat="1" ht="12.75" customHeight="1">
      <c r="B30" s="253"/>
      <c r="C30" s="435"/>
      <c r="D30" s="405"/>
      <c r="E30" s="480" t="s">
        <v>45</v>
      </c>
      <c r="F30" s="943"/>
      <c r="G30" s="943"/>
      <c r="H30" s="943"/>
      <c r="I30" s="943"/>
      <c r="J30" s="943"/>
      <c r="K30" s="943"/>
      <c r="L30" s="943"/>
      <c r="M30" s="943"/>
      <c r="N30" s="943"/>
      <c r="O30" s="943"/>
      <c r="P30" s="943"/>
      <c r="Q30" s="943"/>
      <c r="R30" s="943"/>
      <c r="S30" s="943"/>
      <c r="T30" s="943"/>
      <c r="U30" s="943"/>
      <c r="V30" s="943"/>
      <c r="W30" s="943"/>
      <c r="X30" s="943"/>
      <c r="Y30" s="472"/>
      <c r="Z30" s="480"/>
      <c r="AA30" s="480" t="s">
        <v>5</v>
      </c>
      <c r="AB30" s="948"/>
      <c r="AC30" s="948"/>
      <c r="AD30" s="948"/>
      <c r="AE30" s="948"/>
      <c r="AF30" s="948"/>
      <c r="AG30" s="948"/>
      <c r="AH30" s="948"/>
      <c r="AI30" s="948"/>
      <c r="AJ30" s="948"/>
      <c r="AK30" s="445"/>
      <c r="AO30" s="483" t="s">
        <v>22</v>
      </c>
      <c r="AP30" s="581"/>
      <c r="AQ30" s="483"/>
      <c r="AR30" s="483" t="s">
        <v>21</v>
      </c>
      <c r="AS30" s="483" t="s">
        <v>419</v>
      </c>
      <c r="AT30" s="483" t="s">
        <v>420</v>
      </c>
      <c r="AV30" s="326" t="s">
        <v>501</v>
      </c>
      <c r="AW30" s="787">
        <f>IF(AND(OR(J33="C",J33="D"),$AW$13&lt;30),1.1,1)</f>
        <v>1</v>
      </c>
    </row>
    <row r="31" spans="1:49" s="325" customFormat="1" ht="12.75" customHeight="1">
      <c r="A31" s="322"/>
      <c r="B31" s="433"/>
      <c r="C31" s="434"/>
      <c r="D31" s="582"/>
      <c r="E31" s="583" t="s">
        <v>238</v>
      </c>
      <c r="F31" s="600">
        <f>Tasación!N46</f>
        <v>0</v>
      </c>
      <c r="G31" s="582"/>
      <c r="H31" s="582"/>
      <c r="I31" s="582"/>
      <c r="J31" s="582"/>
      <c r="K31" s="583" t="s">
        <v>46</v>
      </c>
      <c r="L31" s="932"/>
      <c r="M31" s="932"/>
      <c r="N31" s="932"/>
      <c r="O31" s="932"/>
      <c r="P31" s="582"/>
      <c r="Q31" s="582"/>
      <c r="R31" s="583"/>
      <c r="S31" s="583"/>
      <c r="T31" s="583"/>
      <c r="U31" s="583" t="s">
        <v>257</v>
      </c>
      <c r="V31" s="600">
        <f>Tasación!M46</f>
        <v>0</v>
      </c>
      <c r="W31" s="601">
        <f>IF(V31=0,0,VLOOKUP(V31,Lista!$A$2:$B$6,2,FALSE))</f>
        <v>0</v>
      </c>
      <c r="Z31" s="167"/>
      <c r="AA31" s="167"/>
      <c r="AB31" s="167"/>
      <c r="AC31" s="167"/>
      <c r="AE31" s="480" t="s">
        <v>184</v>
      </c>
      <c r="AF31" s="584"/>
      <c r="AG31" s="674"/>
      <c r="AH31" s="674"/>
      <c r="AI31" s="608" t="s">
        <v>275</v>
      </c>
      <c r="AJ31" s="607">
        <f>Tasación!O46</f>
        <v>0</v>
      </c>
      <c r="AK31" s="444"/>
      <c r="AL31" s="344"/>
      <c r="AO31" s="668">
        <f>IF(V31=0,1,VLOOKUP(V31,Lista!$A$2:$C$6,3,FALSE))</f>
        <v>1</v>
      </c>
      <c r="AP31" s="291"/>
      <c r="AQ31" s="291"/>
      <c r="AR31" s="561">
        <f>Tasación!S46</f>
        <v>0</v>
      </c>
      <c r="AS31" s="561">
        <f>Tasación!P46</f>
        <v>1</v>
      </c>
      <c r="AT31" s="561">
        <f>Tasación!Q46</f>
        <v>1</v>
      </c>
      <c r="AV31" s="326" t="s">
        <v>502</v>
      </c>
      <c r="AW31" s="787">
        <f>IF(AND(OR(J33="E",J33="H"),$AW$13&lt;30),1.2,1)</f>
        <v>1</v>
      </c>
    </row>
    <row r="32" spans="2:49" s="322" customFormat="1" ht="12.75" customHeight="1" thickBot="1">
      <c r="B32" s="481" t="s">
        <v>242</v>
      </c>
      <c r="C32" s="434"/>
      <c r="D32" s="602"/>
      <c r="E32" s="602"/>
      <c r="F32" s="582"/>
      <c r="G32" s="582"/>
      <c r="H32" s="582"/>
      <c r="I32" s="582"/>
      <c r="J32" s="583" t="s">
        <v>47</v>
      </c>
      <c r="K32" s="934"/>
      <c r="L32" s="934"/>
      <c r="M32" s="934"/>
      <c r="N32" s="934"/>
      <c r="O32" s="934"/>
      <c r="P32" s="582"/>
      <c r="Q32" s="325"/>
      <c r="R32" s="325"/>
      <c r="S32" s="325"/>
      <c r="T32" s="325"/>
      <c r="U32" s="325"/>
      <c r="V32" s="325"/>
      <c r="W32" s="583" t="s">
        <v>243</v>
      </c>
      <c r="X32" s="943"/>
      <c r="Y32" s="943"/>
      <c r="Z32" s="943"/>
      <c r="AA32" s="943"/>
      <c r="AB32" s="943"/>
      <c r="AC32" s="943"/>
      <c r="AD32" s="943"/>
      <c r="AE32" s="943"/>
      <c r="AF32" s="943"/>
      <c r="AG32" s="943"/>
      <c r="AH32" s="943"/>
      <c r="AI32" s="943"/>
      <c r="AJ32" s="943"/>
      <c r="AK32" s="446"/>
      <c r="AL32" s="774"/>
      <c r="AP32" s="772" t="s">
        <v>427</v>
      </c>
      <c r="AQ32" s="591">
        <f>IF(J33=0,0,VLOOKUP(J33,Lista!$E$2:$H$12,4,FALSE))</f>
        <v>0</v>
      </c>
      <c r="AV32" s="325"/>
      <c r="AW32" s="789">
        <f>MAX(AW30:AW31)</f>
        <v>1</v>
      </c>
    </row>
    <row r="33" spans="1:41" s="322" customFormat="1" ht="12.75" customHeight="1">
      <c r="A33" s="357"/>
      <c r="B33" s="481" t="s">
        <v>240</v>
      </c>
      <c r="C33" s="434"/>
      <c r="D33" s="602"/>
      <c r="E33" s="602"/>
      <c r="F33" s="604"/>
      <c r="G33" s="604"/>
      <c r="H33" s="604"/>
      <c r="I33" s="605" t="s">
        <v>54</v>
      </c>
      <c r="J33" s="606">
        <f>Tasación!K46</f>
        <v>0</v>
      </c>
      <c r="K33" s="601">
        <f>IF(J33=0,0,VLOOKUP(J33,Lista!$E$2:$F$14,2,FALSE))</f>
        <v>0</v>
      </c>
      <c r="L33" s="601"/>
      <c r="M33" s="601"/>
      <c r="N33" s="601"/>
      <c r="O33" s="601"/>
      <c r="P33" s="604"/>
      <c r="Q33" s="605" t="s">
        <v>47</v>
      </c>
      <c r="R33" s="600">
        <f>Tasación!L46</f>
        <v>0</v>
      </c>
      <c r="S33" s="601">
        <f>IF(OR(R33=0,R33&gt;6),0,CHOOSE(R33,"SUPERIOR","BUENA","CORRIENTE","REGULAR","INFERIOR","DEFICIENTE"))</f>
        <v>0</v>
      </c>
      <c r="T33" s="601"/>
      <c r="U33" s="601"/>
      <c r="V33" s="604"/>
      <c r="W33" s="605" t="s">
        <v>495</v>
      </c>
      <c r="X33" s="607">
        <f>IF(AR31=0,0,VLOOKUP(AR31,Lista!$M$2:$N$8,2,FALSE))</f>
        <v>0</v>
      </c>
      <c r="Y33" s="604"/>
      <c r="Z33" s="605"/>
      <c r="AA33" s="325"/>
      <c r="AB33" s="607"/>
      <c r="AC33" s="756"/>
      <c r="AD33" s="740"/>
      <c r="AE33" s="741"/>
      <c r="AF33" s="799" t="s">
        <v>470</v>
      </c>
      <c r="AG33" s="944">
        <f>IF(OR(J33=0,R33=0,R33&lt;3,R33&gt;5),0,VLOOKUP(J33,Lista!$A$21:$J$29,R33+AO33))*$AQ$13</f>
        <v>0</v>
      </c>
      <c r="AH33" s="944"/>
      <c r="AI33" s="738" t="s">
        <v>497</v>
      </c>
      <c r="AJ33" s="757">
        <f>ROUND(AG33*(1-Z35/100)*AO31,2)</f>
        <v>0</v>
      </c>
      <c r="AK33" s="743"/>
      <c r="AL33" s="775"/>
      <c r="AM33" s="359"/>
      <c r="AN33" s="357"/>
      <c r="AO33" s="773">
        <f>IF(F31&lt;3,-1,IF($AP$6=2,5,2))</f>
        <v>-1</v>
      </c>
    </row>
    <row r="34" spans="1:41" s="322" customFormat="1" ht="12.75" customHeight="1">
      <c r="A34" s="357"/>
      <c r="B34" s="104"/>
      <c r="C34" s="484"/>
      <c r="D34" s="604"/>
      <c r="E34" s="604"/>
      <c r="F34" s="604"/>
      <c r="G34" s="604"/>
      <c r="H34" s="609" t="s">
        <v>424</v>
      </c>
      <c r="I34" s="607" t="str">
        <f>VLOOKUP(AS31,Lista!$J$2:$K$10,2)</f>
        <v>SIN REMOZ. NI DETERIORO</v>
      </c>
      <c r="J34" s="607"/>
      <c r="K34" s="607"/>
      <c r="L34" s="607"/>
      <c r="M34" s="607"/>
      <c r="N34" s="607"/>
      <c r="O34" s="607"/>
      <c r="P34" s="604"/>
      <c r="Q34" s="604"/>
      <c r="R34" s="610"/>
      <c r="S34" s="610"/>
      <c r="T34" s="611" t="s">
        <v>422</v>
      </c>
      <c r="U34" s="612">
        <f ca="1">IF(AJ31=0,0,YEAR(TODAY())-AJ31)</f>
        <v>0</v>
      </c>
      <c r="V34" s="610"/>
      <c r="W34" s="604"/>
      <c r="X34" s="485"/>
      <c r="Y34" s="485" t="s">
        <v>496</v>
      </c>
      <c r="Z34" s="613">
        <f>IF(J33=0,0,VLOOKUP(J33,Lista!$E$2:$G$12,3,FALSE))</f>
        <v>0</v>
      </c>
      <c r="AA34" s="604" t="s">
        <v>250</v>
      </c>
      <c r="AB34" s="325"/>
      <c r="AC34" s="758"/>
      <c r="AD34" s="360"/>
      <c r="AE34" s="605"/>
      <c r="AF34" s="360"/>
      <c r="AG34" s="360"/>
      <c r="AH34" s="360"/>
      <c r="AI34" s="361" t="s">
        <v>524</v>
      </c>
      <c r="AJ34" s="746">
        <f>ROUND(AO34*(1-Z35/100)*AO31,2)</f>
        <v>0</v>
      </c>
      <c r="AK34" s="449"/>
      <c r="AL34" s="776"/>
      <c r="AO34" s="782">
        <f>IF(OR(J33=0,R33=0,R33&lt;3,R33&gt;5),0,VLOOKUP(J33,Lista!$A$38:$J$48,R33+AO33))*$AQ$13</f>
        <v>0</v>
      </c>
    </row>
    <row r="35" spans="1:38" s="322" customFormat="1" ht="12.75" customHeight="1" thickBot="1">
      <c r="A35" s="357"/>
      <c r="B35" s="104"/>
      <c r="C35" s="484"/>
      <c r="D35" s="604"/>
      <c r="E35" s="604"/>
      <c r="F35" s="604"/>
      <c r="G35" s="604"/>
      <c r="H35" s="609" t="s">
        <v>425</v>
      </c>
      <c r="I35" s="607" t="str">
        <f>VLOOKUP(AT31,Lista!$J$2:$K$10,2)</f>
        <v>SIN REMOZ. NI DETERIORO</v>
      </c>
      <c r="J35" s="607"/>
      <c r="K35" s="607"/>
      <c r="L35" s="607"/>
      <c r="M35" s="607"/>
      <c r="N35" s="607"/>
      <c r="O35" s="614"/>
      <c r="P35" s="610"/>
      <c r="Q35" s="610"/>
      <c r="R35" s="610"/>
      <c r="S35" s="610"/>
      <c r="T35" s="609" t="s">
        <v>421</v>
      </c>
      <c r="U35" s="599">
        <f>INT(IF(OR(AJ31=0,R33&lt;3,R33&gt;5),U34,CHOOSE(R33-2,U34*(0.5148+0.3539*AS31+0.1313*AT31),U34*(0.5514+0.3025*AS31+0.1461*AT31),U34*(0.6432+0.208*AS31+0.1488*AT31))))</f>
        <v>0</v>
      </c>
      <c r="V35" s="604"/>
      <c r="W35" s="610"/>
      <c r="X35" s="610"/>
      <c r="Y35" s="485" t="s">
        <v>421</v>
      </c>
      <c r="Z35" s="537">
        <f>IF(Z34*U35&gt;AQ32,AQ32,Z34*U35)</f>
        <v>0</v>
      </c>
      <c r="AA35" s="604" t="s">
        <v>250</v>
      </c>
      <c r="AB35" s="325"/>
      <c r="AC35" s="759"/>
      <c r="AD35" s="749"/>
      <c r="AE35" s="760"/>
      <c r="AF35" s="750"/>
      <c r="AG35" s="751"/>
      <c r="AH35" s="750"/>
      <c r="AI35" s="752" t="s">
        <v>492</v>
      </c>
      <c r="AJ35" s="753">
        <f>IF($AU$13=0,AJ33,0)</f>
        <v>0</v>
      </c>
      <c r="AK35" s="761"/>
      <c r="AL35" s="776"/>
    </row>
    <row r="36" spans="1:38" s="322" customFormat="1" ht="12.75" customHeight="1">
      <c r="A36" s="357"/>
      <c r="B36" s="486" t="s">
        <v>241</v>
      </c>
      <c r="C36" s="487"/>
      <c r="D36" s="487"/>
      <c r="E36" s="487"/>
      <c r="F36" s="491"/>
      <c r="G36" s="488"/>
      <c r="H36" s="488"/>
      <c r="I36" s="488"/>
      <c r="J36" s="488"/>
      <c r="K36" s="488"/>
      <c r="L36" s="488"/>
      <c r="M36" s="105"/>
      <c r="N36" s="488"/>
      <c r="O36" s="604"/>
      <c r="P36" s="582"/>
      <c r="Q36" s="583"/>
      <c r="R36" s="480" t="s">
        <v>179</v>
      </c>
      <c r="S36" s="943"/>
      <c r="T36" s="943"/>
      <c r="U36" s="943"/>
      <c r="V36" s="943"/>
      <c r="W36" s="943"/>
      <c r="X36" s="943"/>
      <c r="Y36" s="943"/>
      <c r="Z36" s="943"/>
      <c r="AA36" s="582"/>
      <c r="AB36" s="582"/>
      <c r="AC36" s="480" t="s">
        <v>178</v>
      </c>
      <c r="AD36" s="937"/>
      <c r="AE36" s="937"/>
      <c r="AF36" s="937"/>
      <c r="AG36" s="937"/>
      <c r="AH36" s="937"/>
      <c r="AI36" s="937"/>
      <c r="AJ36" s="937"/>
      <c r="AK36" s="446"/>
      <c r="AL36" s="774"/>
    </row>
    <row r="37" spans="1:38" s="325" customFormat="1" ht="12.75" customHeight="1">
      <c r="A37" s="322"/>
      <c r="B37" s="433"/>
      <c r="C37" s="434"/>
      <c r="D37" s="434"/>
      <c r="E37" s="434"/>
      <c r="F37" s="379" t="s">
        <v>112</v>
      </c>
      <c r="G37" s="936"/>
      <c r="H37" s="936"/>
      <c r="I37" s="936"/>
      <c r="J37" s="936"/>
      <c r="K37" s="936"/>
      <c r="L37" s="936"/>
      <c r="M37" s="936"/>
      <c r="N37" s="936"/>
      <c r="O37" s="434"/>
      <c r="P37" s="379"/>
      <c r="Q37" s="379"/>
      <c r="R37" s="379" t="s">
        <v>180</v>
      </c>
      <c r="S37" s="936"/>
      <c r="T37" s="936"/>
      <c r="U37" s="936"/>
      <c r="V37" s="936"/>
      <c r="W37" s="936"/>
      <c r="X37" s="936"/>
      <c r="Y37" s="936"/>
      <c r="Z37" s="936"/>
      <c r="AA37" s="379"/>
      <c r="AB37" s="379"/>
      <c r="AC37" s="379" t="s">
        <v>198</v>
      </c>
      <c r="AD37" s="935"/>
      <c r="AE37" s="935"/>
      <c r="AF37" s="935"/>
      <c r="AG37" s="935"/>
      <c r="AH37" s="935"/>
      <c r="AI37" s="935"/>
      <c r="AJ37" s="935"/>
      <c r="AK37" s="444"/>
      <c r="AL37" s="344"/>
    </row>
    <row r="38" spans="1:38" s="325" customFormat="1" ht="12.75" customHeight="1">
      <c r="A38" s="322"/>
      <c r="B38" s="433"/>
      <c r="C38" s="434"/>
      <c r="D38" s="434"/>
      <c r="E38" s="434"/>
      <c r="F38" s="379" t="s">
        <v>197</v>
      </c>
      <c r="G38" s="936"/>
      <c r="H38" s="936"/>
      <c r="I38" s="936"/>
      <c r="J38" s="936"/>
      <c r="K38" s="936"/>
      <c r="L38" s="936"/>
      <c r="M38" s="936"/>
      <c r="N38" s="936"/>
      <c r="O38" s="434"/>
      <c r="P38" s="379"/>
      <c r="Q38" s="379"/>
      <c r="R38" s="379" t="s">
        <v>115</v>
      </c>
      <c r="S38" s="936"/>
      <c r="T38" s="936"/>
      <c r="U38" s="936"/>
      <c r="V38" s="936"/>
      <c r="W38" s="936"/>
      <c r="X38" s="936"/>
      <c r="Y38" s="936"/>
      <c r="Z38" s="936"/>
      <c r="AA38" s="379"/>
      <c r="AB38" s="379"/>
      <c r="AC38" s="379" t="s">
        <v>111</v>
      </c>
      <c r="AD38" s="935"/>
      <c r="AE38" s="935"/>
      <c r="AF38" s="935"/>
      <c r="AG38" s="935"/>
      <c r="AH38" s="935"/>
      <c r="AI38" s="935"/>
      <c r="AJ38" s="935"/>
      <c r="AK38" s="444"/>
      <c r="AL38" s="344"/>
    </row>
    <row r="39" spans="1:38" s="325" customFormat="1" ht="12.75" customHeight="1">
      <c r="A39" s="322"/>
      <c r="B39" s="433"/>
      <c r="C39" s="434"/>
      <c r="D39" s="434"/>
      <c r="E39" s="434"/>
      <c r="F39" s="379" t="s">
        <v>244</v>
      </c>
      <c r="G39" s="936"/>
      <c r="H39" s="936"/>
      <c r="I39" s="936"/>
      <c r="J39" s="936"/>
      <c r="K39" s="936"/>
      <c r="L39" s="936"/>
      <c r="M39" s="936"/>
      <c r="N39" s="936"/>
      <c r="O39" s="434"/>
      <c r="P39" s="379"/>
      <c r="Q39" s="379"/>
      <c r="R39" s="379" t="s">
        <v>439</v>
      </c>
      <c r="S39" s="936"/>
      <c r="T39" s="936"/>
      <c r="U39" s="936"/>
      <c r="V39" s="936"/>
      <c r="W39" s="936"/>
      <c r="X39" s="936"/>
      <c r="Y39" s="936"/>
      <c r="Z39" s="936"/>
      <c r="AA39" s="379"/>
      <c r="AB39" s="379"/>
      <c r="AC39" s="379" t="s">
        <v>441</v>
      </c>
      <c r="AD39" s="489"/>
      <c r="AE39" s="281"/>
      <c r="AF39" s="379" t="s">
        <v>442</v>
      </c>
      <c r="AG39" s="489"/>
      <c r="AH39" s="379"/>
      <c r="AI39" s="379" t="s">
        <v>440</v>
      </c>
      <c r="AJ39" s="489"/>
      <c r="AK39" s="444"/>
      <c r="AL39" s="344"/>
    </row>
    <row r="40" spans="2:38" s="185" customFormat="1" ht="19.5" customHeight="1">
      <c r="B40" s="75"/>
      <c r="C40" s="79"/>
      <c r="D40" s="443"/>
      <c r="E40" s="443"/>
      <c r="F40" s="432" t="s">
        <v>117</v>
      </c>
      <c r="G40" s="882"/>
      <c r="H40" s="882"/>
      <c r="I40" s="882"/>
      <c r="J40" s="882"/>
      <c r="K40" s="882"/>
      <c r="L40" s="882"/>
      <c r="M40" s="882"/>
      <c r="N40" s="882"/>
      <c r="O40" s="882"/>
      <c r="P40" s="882"/>
      <c r="Q40" s="882"/>
      <c r="R40" s="882"/>
      <c r="S40" s="882"/>
      <c r="T40" s="882"/>
      <c r="U40" s="882"/>
      <c r="V40" s="882"/>
      <c r="W40" s="882"/>
      <c r="X40" s="882"/>
      <c r="Y40" s="882"/>
      <c r="Z40" s="882"/>
      <c r="AA40" s="882"/>
      <c r="AB40" s="882"/>
      <c r="AC40" s="882"/>
      <c r="AD40" s="882"/>
      <c r="AE40" s="882"/>
      <c r="AF40" s="882"/>
      <c r="AG40" s="882"/>
      <c r="AH40" s="882"/>
      <c r="AI40" s="882"/>
      <c r="AJ40" s="882"/>
      <c r="AK40" s="444"/>
      <c r="AL40" s="12"/>
    </row>
    <row r="41" spans="1:38" s="51" customFormat="1" ht="2.25" customHeight="1">
      <c r="A41" s="286"/>
      <c r="B41" s="468"/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7"/>
      <c r="AA41" s="457"/>
      <c r="AB41" s="469"/>
      <c r="AC41" s="470"/>
      <c r="AD41" s="457"/>
      <c r="AE41" s="457"/>
      <c r="AF41" s="457"/>
      <c r="AG41" s="461"/>
      <c r="AH41" s="457"/>
      <c r="AI41" s="457"/>
      <c r="AJ41" s="457"/>
      <c r="AK41" s="462"/>
      <c r="AL41" s="7"/>
    </row>
    <row r="42" spans="2:37" s="175" customFormat="1" ht="12" customHeight="1">
      <c r="B42" s="620"/>
      <c r="C42" s="621" t="s">
        <v>137</v>
      </c>
      <c r="D42" s="621"/>
      <c r="E42" s="621"/>
      <c r="F42" s="622"/>
      <c r="G42" s="622"/>
      <c r="H42" s="622"/>
      <c r="I42" s="622"/>
      <c r="J42" s="622"/>
      <c r="K42" s="622"/>
      <c r="L42" s="622"/>
      <c r="M42" s="622"/>
      <c r="N42" s="623"/>
      <c r="O42" s="622"/>
      <c r="P42" s="623">
        <v>3</v>
      </c>
      <c r="Q42" s="622"/>
      <c r="R42" s="622"/>
      <c r="S42" s="622"/>
      <c r="T42" s="622"/>
      <c r="U42" s="622"/>
      <c r="V42" s="624"/>
      <c r="W42" s="625"/>
      <c r="X42" s="622"/>
      <c r="Y42" s="622"/>
      <c r="Z42" s="622"/>
      <c r="AA42" s="622"/>
      <c r="AB42" s="622"/>
      <c r="AC42" s="622"/>
      <c r="AD42" s="629"/>
      <c r="AE42" s="622"/>
      <c r="AF42" s="662" t="s">
        <v>44</v>
      </c>
      <c r="AG42" s="938">
        <f>Tasación!T47</f>
        <v>0</v>
      </c>
      <c r="AH42" s="938"/>
      <c r="AI42" s="938"/>
      <c r="AJ42" s="637" t="s">
        <v>16</v>
      </c>
      <c r="AK42" s="628"/>
    </row>
    <row r="43" spans="2:37" s="23" customFormat="1" ht="2.25" customHeight="1">
      <c r="B43" s="463"/>
      <c r="C43" s="464"/>
      <c r="D43" s="464"/>
      <c r="E43" s="464"/>
      <c r="F43" s="105"/>
      <c r="G43" s="105"/>
      <c r="H43" s="105"/>
      <c r="I43" s="105"/>
      <c r="J43" s="105"/>
      <c r="K43" s="465"/>
      <c r="L43" s="466"/>
      <c r="M43" s="466"/>
      <c r="N43" s="466"/>
      <c r="O43" s="466"/>
      <c r="P43" s="466"/>
      <c r="Q43" s="466"/>
      <c r="R43" s="466"/>
      <c r="S43" s="466"/>
      <c r="T43" s="466"/>
      <c r="U43" s="466"/>
      <c r="V43" s="466"/>
      <c r="W43" s="466"/>
      <c r="X43" s="466"/>
      <c r="Y43" s="466"/>
      <c r="Z43" s="466"/>
      <c r="AA43" s="466"/>
      <c r="AB43" s="466"/>
      <c r="AC43" s="466"/>
      <c r="AD43" s="466"/>
      <c r="AE43" s="466"/>
      <c r="AF43" s="466"/>
      <c r="AG43" s="466"/>
      <c r="AH43" s="466"/>
      <c r="AI43" s="466"/>
      <c r="AJ43" s="466"/>
      <c r="AK43" s="467"/>
    </row>
    <row r="44" spans="2:49" s="322" customFormat="1" ht="12.75" customHeight="1">
      <c r="B44" s="253"/>
      <c r="C44" s="435"/>
      <c r="D44" s="405"/>
      <c r="E44" s="480" t="s">
        <v>45</v>
      </c>
      <c r="F44" s="943"/>
      <c r="G44" s="943"/>
      <c r="H44" s="943"/>
      <c r="I44" s="943"/>
      <c r="J44" s="943"/>
      <c r="K44" s="943"/>
      <c r="L44" s="943"/>
      <c r="M44" s="943"/>
      <c r="N44" s="943"/>
      <c r="O44" s="943"/>
      <c r="P44" s="943"/>
      <c r="Q44" s="943"/>
      <c r="R44" s="943"/>
      <c r="S44" s="943"/>
      <c r="T44" s="943"/>
      <c r="U44" s="943"/>
      <c r="V44" s="943"/>
      <c r="W44" s="943"/>
      <c r="X44" s="943"/>
      <c r="Y44" s="472"/>
      <c r="Z44" s="480"/>
      <c r="AA44" s="480" t="s">
        <v>5</v>
      </c>
      <c r="AB44" s="948"/>
      <c r="AC44" s="948"/>
      <c r="AD44" s="948"/>
      <c r="AE44" s="948"/>
      <c r="AF44" s="948"/>
      <c r="AG44" s="948"/>
      <c r="AH44" s="948"/>
      <c r="AI44" s="948"/>
      <c r="AJ44" s="948"/>
      <c r="AK44" s="445"/>
      <c r="AO44" s="483" t="s">
        <v>22</v>
      </c>
      <c r="AP44" s="619"/>
      <c r="AQ44" s="618"/>
      <c r="AR44" s="483" t="s">
        <v>21</v>
      </c>
      <c r="AS44" s="483" t="s">
        <v>419</v>
      </c>
      <c r="AT44" s="483" t="s">
        <v>420</v>
      </c>
      <c r="AV44" s="326" t="s">
        <v>501</v>
      </c>
      <c r="AW44" s="787">
        <f>IF(AND(OR(J47="C",J47="D"),$AW$13&lt;30),1.1,1)</f>
        <v>1</v>
      </c>
    </row>
    <row r="45" spans="1:49" s="325" customFormat="1" ht="12.75" customHeight="1">
      <c r="A45" s="322"/>
      <c r="B45" s="433"/>
      <c r="C45" s="434"/>
      <c r="D45" s="582"/>
      <c r="E45" s="583" t="s">
        <v>238</v>
      </c>
      <c r="F45" s="600">
        <f>Tasación!N47</f>
        <v>0</v>
      </c>
      <c r="G45" s="582"/>
      <c r="H45" s="582"/>
      <c r="I45" s="582"/>
      <c r="J45" s="582"/>
      <c r="K45" s="583" t="s">
        <v>46</v>
      </c>
      <c r="L45" s="932"/>
      <c r="M45" s="932"/>
      <c r="N45" s="932"/>
      <c r="O45" s="932"/>
      <c r="P45" s="582"/>
      <c r="Q45" s="582"/>
      <c r="R45" s="583"/>
      <c r="S45" s="583"/>
      <c r="T45" s="583"/>
      <c r="U45" s="583" t="s">
        <v>257</v>
      </c>
      <c r="V45" s="600">
        <f>Tasación!M47</f>
        <v>0</v>
      </c>
      <c r="W45" s="601">
        <f>IF(V45=0,0,VLOOKUP(V45,Lista!$A$2:$B$6,2,FALSE))</f>
        <v>0</v>
      </c>
      <c r="AB45" s="167"/>
      <c r="AC45" s="601"/>
      <c r="AE45" s="480" t="s">
        <v>184</v>
      </c>
      <c r="AF45" s="584"/>
      <c r="AG45" s="674"/>
      <c r="AH45" s="674"/>
      <c r="AI45" s="608" t="s">
        <v>275</v>
      </c>
      <c r="AJ45" s="607">
        <f>Tasación!O47</f>
        <v>0</v>
      </c>
      <c r="AK45" s="444"/>
      <c r="AL45" s="344"/>
      <c r="AO45" s="668">
        <f>IF(V45=0,1,VLOOKUP(V45,Lista!$A$2:$C$6,3,FALSE))</f>
        <v>1</v>
      </c>
      <c r="AP45" s="291"/>
      <c r="AQ45" s="291"/>
      <c r="AR45" s="561">
        <f>Tasación!S47</f>
        <v>0</v>
      </c>
      <c r="AS45" s="561">
        <f>Tasación!P47</f>
        <v>1</v>
      </c>
      <c r="AT45" s="561">
        <f>Tasación!Q47</f>
        <v>1</v>
      </c>
      <c r="AV45" s="326" t="s">
        <v>502</v>
      </c>
      <c r="AW45" s="787">
        <f>IF(AND(OR(J47="E",J47="H"),$AW$13&lt;30),1.2,1)</f>
        <v>1</v>
      </c>
    </row>
    <row r="46" spans="1:49" s="325" customFormat="1" ht="12.75" customHeight="1" thickBot="1">
      <c r="A46" s="322"/>
      <c r="B46" s="481" t="s">
        <v>242</v>
      </c>
      <c r="C46" s="434"/>
      <c r="D46" s="602"/>
      <c r="E46" s="602"/>
      <c r="F46" s="582"/>
      <c r="G46" s="582"/>
      <c r="H46" s="582"/>
      <c r="I46" s="582"/>
      <c r="J46" s="583" t="s">
        <v>47</v>
      </c>
      <c r="K46" s="934"/>
      <c r="L46" s="934"/>
      <c r="M46" s="934"/>
      <c r="N46" s="934"/>
      <c r="O46" s="934"/>
      <c r="P46" s="582"/>
      <c r="W46" s="583" t="s">
        <v>243</v>
      </c>
      <c r="X46" s="943"/>
      <c r="Y46" s="943"/>
      <c r="Z46" s="943"/>
      <c r="AA46" s="943"/>
      <c r="AB46" s="943"/>
      <c r="AC46" s="943"/>
      <c r="AD46" s="943"/>
      <c r="AE46" s="943"/>
      <c r="AF46" s="943"/>
      <c r="AG46" s="943"/>
      <c r="AH46" s="943"/>
      <c r="AI46" s="943"/>
      <c r="AJ46" s="943"/>
      <c r="AK46" s="446"/>
      <c r="AL46" s="344"/>
      <c r="AP46" s="586" t="s">
        <v>427</v>
      </c>
      <c r="AQ46" s="591">
        <f>IF(J47=0,0,VLOOKUP(J47,Lista!$E$2:$H$12,4,FALSE))</f>
        <v>0</v>
      </c>
      <c r="AW46" s="789">
        <f>MAX(AW44:AW45)</f>
        <v>1</v>
      </c>
    </row>
    <row r="47" spans="1:41" s="325" customFormat="1" ht="12.75" customHeight="1">
      <c r="A47" s="357"/>
      <c r="B47" s="481" t="s">
        <v>240</v>
      </c>
      <c r="C47" s="434"/>
      <c r="D47" s="602"/>
      <c r="E47" s="602"/>
      <c r="F47" s="604"/>
      <c r="G47" s="604"/>
      <c r="H47" s="604"/>
      <c r="I47" s="605" t="s">
        <v>54</v>
      </c>
      <c r="J47" s="606">
        <f>Tasación!K47</f>
        <v>0</v>
      </c>
      <c r="K47" s="601">
        <f>IF(J47=0,0,VLOOKUP(J47,Lista!$E$2:$F$14,2,FALSE))</f>
        <v>0</v>
      </c>
      <c r="L47" s="601"/>
      <c r="M47" s="601"/>
      <c r="N47" s="601"/>
      <c r="O47" s="601"/>
      <c r="P47" s="604"/>
      <c r="Q47" s="605" t="s">
        <v>47</v>
      </c>
      <c r="R47" s="600">
        <f>Tasación!L47</f>
        <v>0</v>
      </c>
      <c r="S47" s="601">
        <f>IF(OR(R47=0,R47&gt;6),0,CHOOSE(R47,"SUPERIOR","BUENA","CORRIENTE","REGULAR","INFERIOR","DEFICIENTE"))</f>
        <v>0</v>
      </c>
      <c r="T47" s="601"/>
      <c r="U47" s="601"/>
      <c r="V47" s="604"/>
      <c r="W47" s="605" t="s">
        <v>495</v>
      </c>
      <c r="X47" s="607">
        <f>IF(AR45=0,0,VLOOKUP(AR45,Lista!$M$2:$N$8,2,FALSE))</f>
        <v>0</v>
      </c>
      <c r="Y47" s="604"/>
      <c r="Z47" s="605"/>
      <c r="AB47" s="607"/>
      <c r="AC47" s="756"/>
      <c r="AD47" s="740"/>
      <c r="AE47" s="741"/>
      <c r="AF47" s="799" t="s">
        <v>470</v>
      </c>
      <c r="AG47" s="944">
        <f>IF(OR(J47=0,R47=0,R47&lt;3,R47&gt;5),0,VLOOKUP(J47,Lista!$A$21:$J$29,R47+AO47))*$AQ$13</f>
        <v>0</v>
      </c>
      <c r="AH47" s="944"/>
      <c r="AI47" s="738" t="s">
        <v>497</v>
      </c>
      <c r="AJ47" s="757">
        <f>ROUND(AG47*(1-Z49/100)*AO45,2)</f>
        <v>0</v>
      </c>
      <c r="AK47" s="762"/>
      <c r="AL47" s="359"/>
      <c r="AM47" s="359"/>
      <c r="AN47" s="358"/>
      <c r="AO47" s="709">
        <f>IF(F45&lt;3,-1,IF($AP$6=2,5,2))</f>
        <v>-1</v>
      </c>
    </row>
    <row r="48" spans="1:41" s="325" customFormat="1" ht="12.75" customHeight="1">
      <c r="A48" s="357"/>
      <c r="B48" s="433"/>
      <c r="C48" s="484"/>
      <c r="D48" s="604"/>
      <c r="E48" s="604"/>
      <c r="F48" s="604"/>
      <c r="G48" s="604"/>
      <c r="H48" s="609" t="s">
        <v>424</v>
      </c>
      <c r="I48" s="607" t="str">
        <f>VLOOKUP(AS45,Lista!$J$2:$K$10,2)</f>
        <v>SIN REMOZ. NI DETERIORO</v>
      </c>
      <c r="J48" s="607"/>
      <c r="K48" s="607"/>
      <c r="L48" s="607"/>
      <c r="M48" s="607"/>
      <c r="N48" s="607"/>
      <c r="O48" s="607"/>
      <c r="P48" s="604"/>
      <c r="Q48" s="604"/>
      <c r="R48" s="610"/>
      <c r="S48" s="610"/>
      <c r="T48" s="611" t="s">
        <v>422</v>
      </c>
      <c r="U48" s="612">
        <f ca="1">IF(AJ45=0,0,YEAR(TODAY())-AJ45)</f>
        <v>0</v>
      </c>
      <c r="V48" s="610"/>
      <c r="W48" s="604"/>
      <c r="X48" s="485"/>
      <c r="Y48" s="485" t="s">
        <v>496</v>
      </c>
      <c r="Z48" s="613">
        <f>IF(J47=0,0,VLOOKUP(J47,Lista!$E$2:$G$12,3,FALSE))</f>
        <v>0</v>
      </c>
      <c r="AA48" s="604" t="s">
        <v>250</v>
      </c>
      <c r="AC48" s="758"/>
      <c r="AD48" s="360"/>
      <c r="AE48" s="605"/>
      <c r="AF48" s="360"/>
      <c r="AG48" s="360"/>
      <c r="AH48" s="360"/>
      <c r="AI48" s="361" t="s">
        <v>524</v>
      </c>
      <c r="AJ48" s="746">
        <f>ROUND(AO48*(1-Z49/100)*AO45,2)</f>
        <v>0</v>
      </c>
      <c r="AK48" s="763"/>
      <c r="AL48" s="323"/>
      <c r="AO48" s="782">
        <f>IF(OR(J47=0,R47=0,R47&lt;3,R47&gt;5),0,VLOOKUP(J47,Lista!$A$38:$J$48,R47+AO47))*$AQ$13</f>
        <v>0</v>
      </c>
    </row>
    <row r="49" spans="1:38" s="325" customFormat="1" ht="12.75" customHeight="1" thickBot="1">
      <c r="A49" s="357"/>
      <c r="B49" s="433"/>
      <c r="C49" s="484"/>
      <c r="D49" s="604"/>
      <c r="E49" s="604"/>
      <c r="F49" s="604"/>
      <c r="G49" s="604"/>
      <c r="H49" s="609" t="s">
        <v>425</v>
      </c>
      <c r="I49" s="607" t="str">
        <f>VLOOKUP(AT45,Lista!$J$2:$K$10,2)</f>
        <v>SIN REMOZ. NI DETERIORO</v>
      </c>
      <c r="J49" s="607"/>
      <c r="K49" s="607"/>
      <c r="L49" s="607"/>
      <c r="M49" s="607"/>
      <c r="N49" s="607"/>
      <c r="O49" s="614"/>
      <c r="P49" s="610"/>
      <c r="Q49" s="610"/>
      <c r="R49" s="610"/>
      <c r="S49" s="610"/>
      <c r="T49" s="609" t="s">
        <v>421</v>
      </c>
      <c r="U49" s="599">
        <f>INT(IF(OR(AJ45=0,R47&lt;3,R47&gt;5),U48,CHOOSE(R47-2,U48*(0.5148+0.3539*AS45+0.1313*AT45),U48*(0.5514+0.3025*AS45+0.1461*AT45),U48*(0.6432+0.208*AS45+0.1488*AT45))))</f>
        <v>0</v>
      </c>
      <c r="V49" s="604"/>
      <c r="W49" s="610"/>
      <c r="X49" s="610"/>
      <c r="Y49" s="485" t="s">
        <v>421</v>
      </c>
      <c r="Z49" s="537">
        <f>IF(Z48*U49&gt;AQ46,AQ46,Z48*U49)</f>
        <v>0</v>
      </c>
      <c r="AA49" s="604" t="s">
        <v>250</v>
      </c>
      <c r="AC49" s="759"/>
      <c r="AD49" s="749"/>
      <c r="AE49" s="760"/>
      <c r="AF49" s="750"/>
      <c r="AG49" s="751"/>
      <c r="AH49" s="750"/>
      <c r="AI49" s="752" t="s">
        <v>492</v>
      </c>
      <c r="AJ49" s="753">
        <f>IF($AU$13=0,AJ47,0)</f>
        <v>0</v>
      </c>
      <c r="AK49" s="764"/>
      <c r="AL49" s="323"/>
    </row>
    <row r="50" spans="1:38" s="325" customFormat="1" ht="12.75" customHeight="1">
      <c r="A50" s="357"/>
      <c r="B50" s="486" t="s">
        <v>241</v>
      </c>
      <c r="C50" s="487"/>
      <c r="D50" s="487"/>
      <c r="E50" s="487"/>
      <c r="F50" s="491"/>
      <c r="G50" s="488"/>
      <c r="H50" s="488"/>
      <c r="I50" s="488"/>
      <c r="J50" s="488"/>
      <c r="K50" s="488"/>
      <c r="L50" s="488"/>
      <c r="M50" s="105"/>
      <c r="N50" s="488"/>
      <c r="O50" s="604"/>
      <c r="P50" s="582"/>
      <c r="Q50" s="583"/>
      <c r="R50" s="480" t="s">
        <v>179</v>
      </c>
      <c r="S50" s="943"/>
      <c r="T50" s="943"/>
      <c r="U50" s="943"/>
      <c r="V50" s="943"/>
      <c r="W50" s="943"/>
      <c r="X50" s="943"/>
      <c r="Y50" s="943"/>
      <c r="Z50" s="943"/>
      <c r="AA50" s="582"/>
      <c r="AB50" s="582"/>
      <c r="AC50" s="480" t="s">
        <v>178</v>
      </c>
      <c r="AD50" s="937"/>
      <c r="AE50" s="937"/>
      <c r="AF50" s="937"/>
      <c r="AG50" s="937"/>
      <c r="AH50" s="937"/>
      <c r="AI50" s="937"/>
      <c r="AJ50" s="937"/>
      <c r="AK50" s="446"/>
      <c r="AL50" s="344"/>
    </row>
    <row r="51" spans="1:38" s="325" customFormat="1" ht="12.75" customHeight="1">
      <c r="A51" s="322"/>
      <c r="B51" s="433"/>
      <c r="C51" s="434"/>
      <c r="D51" s="434"/>
      <c r="E51" s="434"/>
      <c r="F51" s="379" t="s">
        <v>112</v>
      </c>
      <c r="G51" s="936"/>
      <c r="H51" s="936"/>
      <c r="I51" s="936"/>
      <c r="J51" s="936"/>
      <c r="K51" s="936"/>
      <c r="L51" s="936"/>
      <c r="M51" s="936"/>
      <c r="N51" s="936"/>
      <c r="O51" s="434"/>
      <c r="P51" s="379"/>
      <c r="Q51" s="379"/>
      <c r="R51" s="379" t="s">
        <v>180</v>
      </c>
      <c r="S51" s="936"/>
      <c r="T51" s="936"/>
      <c r="U51" s="936"/>
      <c r="V51" s="936"/>
      <c r="W51" s="936"/>
      <c r="X51" s="936"/>
      <c r="Y51" s="936"/>
      <c r="Z51" s="936"/>
      <c r="AA51" s="379"/>
      <c r="AB51" s="379"/>
      <c r="AC51" s="379" t="s">
        <v>198</v>
      </c>
      <c r="AD51" s="935"/>
      <c r="AE51" s="935"/>
      <c r="AF51" s="935"/>
      <c r="AG51" s="935"/>
      <c r="AH51" s="935"/>
      <c r="AI51" s="935"/>
      <c r="AJ51" s="935"/>
      <c r="AK51" s="444"/>
      <c r="AL51" s="344"/>
    </row>
    <row r="52" spans="1:38" s="325" customFormat="1" ht="12.75" customHeight="1">
      <c r="A52" s="322"/>
      <c r="B52" s="433"/>
      <c r="C52" s="434"/>
      <c r="D52" s="434"/>
      <c r="E52" s="434"/>
      <c r="F52" s="379" t="s">
        <v>197</v>
      </c>
      <c r="G52" s="936"/>
      <c r="H52" s="936"/>
      <c r="I52" s="936"/>
      <c r="J52" s="936"/>
      <c r="K52" s="936"/>
      <c r="L52" s="936"/>
      <c r="M52" s="936"/>
      <c r="N52" s="936"/>
      <c r="O52" s="434"/>
      <c r="P52" s="379"/>
      <c r="Q52" s="379"/>
      <c r="R52" s="379" t="s">
        <v>115</v>
      </c>
      <c r="S52" s="936"/>
      <c r="T52" s="936"/>
      <c r="U52" s="936"/>
      <c r="V52" s="936"/>
      <c r="W52" s="936"/>
      <c r="X52" s="936"/>
      <c r="Y52" s="936"/>
      <c r="Z52" s="936"/>
      <c r="AA52" s="379"/>
      <c r="AB52" s="379"/>
      <c r="AC52" s="379" t="s">
        <v>111</v>
      </c>
      <c r="AD52" s="935"/>
      <c r="AE52" s="935"/>
      <c r="AF52" s="935"/>
      <c r="AG52" s="935"/>
      <c r="AH52" s="935"/>
      <c r="AI52" s="935"/>
      <c r="AJ52" s="935"/>
      <c r="AK52" s="444"/>
      <c r="AL52" s="344"/>
    </row>
    <row r="53" spans="1:38" s="325" customFormat="1" ht="12.75" customHeight="1">
      <c r="A53" s="322"/>
      <c r="B53" s="433"/>
      <c r="C53" s="434"/>
      <c r="D53" s="434"/>
      <c r="E53" s="434"/>
      <c r="F53" s="379" t="s">
        <v>244</v>
      </c>
      <c r="G53" s="936"/>
      <c r="H53" s="936"/>
      <c r="I53" s="936"/>
      <c r="J53" s="936"/>
      <c r="K53" s="936"/>
      <c r="L53" s="936"/>
      <c r="M53" s="936"/>
      <c r="N53" s="936"/>
      <c r="O53" s="434"/>
      <c r="P53" s="379"/>
      <c r="Q53" s="379"/>
      <c r="R53" s="379" t="s">
        <v>439</v>
      </c>
      <c r="S53" s="936"/>
      <c r="T53" s="936"/>
      <c r="U53" s="936"/>
      <c r="V53" s="936"/>
      <c r="W53" s="936"/>
      <c r="X53" s="936"/>
      <c r="Y53" s="936"/>
      <c r="Z53" s="936"/>
      <c r="AA53" s="379"/>
      <c r="AB53" s="379"/>
      <c r="AC53" s="379" t="s">
        <v>441</v>
      </c>
      <c r="AD53" s="489"/>
      <c r="AE53" s="281"/>
      <c r="AF53" s="379" t="s">
        <v>442</v>
      </c>
      <c r="AG53" s="489"/>
      <c r="AH53" s="379"/>
      <c r="AI53" s="379" t="s">
        <v>440</v>
      </c>
      <c r="AJ53" s="489"/>
      <c r="AK53" s="444"/>
      <c r="AL53" s="344"/>
    </row>
    <row r="54" spans="2:38" s="185" customFormat="1" ht="19.5" customHeight="1">
      <c r="B54" s="75"/>
      <c r="C54" s="79"/>
      <c r="D54" s="443"/>
      <c r="E54" s="443"/>
      <c r="F54" s="432" t="s">
        <v>117</v>
      </c>
      <c r="G54" s="882"/>
      <c r="H54" s="882"/>
      <c r="I54" s="882"/>
      <c r="J54" s="882"/>
      <c r="K54" s="882"/>
      <c r="L54" s="882"/>
      <c r="M54" s="882"/>
      <c r="N54" s="882"/>
      <c r="O54" s="882"/>
      <c r="P54" s="882"/>
      <c r="Q54" s="882"/>
      <c r="R54" s="882"/>
      <c r="S54" s="882"/>
      <c r="T54" s="882"/>
      <c r="U54" s="882"/>
      <c r="V54" s="882"/>
      <c r="W54" s="882"/>
      <c r="X54" s="882"/>
      <c r="Y54" s="882"/>
      <c r="Z54" s="882"/>
      <c r="AA54" s="882"/>
      <c r="AB54" s="882"/>
      <c r="AC54" s="882"/>
      <c r="AD54" s="882"/>
      <c r="AE54" s="882"/>
      <c r="AF54" s="882"/>
      <c r="AG54" s="882"/>
      <c r="AH54" s="882"/>
      <c r="AI54" s="882"/>
      <c r="AJ54" s="882"/>
      <c r="AK54" s="444"/>
      <c r="AL54" s="12"/>
    </row>
    <row r="55" spans="1:38" s="51" customFormat="1" ht="2.25" customHeight="1">
      <c r="A55" s="286"/>
      <c r="B55" s="468"/>
      <c r="C55" s="457"/>
      <c r="D55" s="457"/>
      <c r="E55" s="457"/>
      <c r="F55" s="457"/>
      <c r="G55" s="457"/>
      <c r="H55" s="457"/>
      <c r="I55" s="457"/>
      <c r="J55" s="457"/>
      <c r="K55" s="457"/>
      <c r="L55" s="457"/>
      <c r="M55" s="457"/>
      <c r="N55" s="457"/>
      <c r="O55" s="457"/>
      <c r="P55" s="457"/>
      <c r="Q55" s="457"/>
      <c r="R55" s="457"/>
      <c r="S55" s="457"/>
      <c r="T55" s="457"/>
      <c r="U55" s="457"/>
      <c r="V55" s="457"/>
      <c r="W55" s="457"/>
      <c r="X55" s="457"/>
      <c r="Y55" s="457"/>
      <c r="Z55" s="457"/>
      <c r="AA55" s="457"/>
      <c r="AB55" s="469"/>
      <c r="AC55" s="470"/>
      <c r="AD55" s="457"/>
      <c r="AE55" s="457"/>
      <c r="AF55" s="457"/>
      <c r="AG55" s="461"/>
      <c r="AH55" s="457"/>
      <c r="AI55" s="457"/>
      <c r="AJ55" s="457"/>
      <c r="AK55" s="462"/>
      <c r="AL55" s="7"/>
    </row>
    <row r="56" spans="2:37" s="175" customFormat="1" ht="12" customHeight="1">
      <c r="B56" s="620"/>
      <c r="C56" s="621" t="s">
        <v>137</v>
      </c>
      <c r="D56" s="621"/>
      <c r="E56" s="621"/>
      <c r="F56" s="622"/>
      <c r="G56" s="622"/>
      <c r="H56" s="622"/>
      <c r="I56" s="622"/>
      <c r="J56" s="622"/>
      <c r="K56" s="622"/>
      <c r="L56" s="622"/>
      <c r="M56" s="622"/>
      <c r="N56" s="623"/>
      <c r="O56" s="622"/>
      <c r="P56" s="623">
        <v>4</v>
      </c>
      <c r="Q56" s="622"/>
      <c r="R56" s="622"/>
      <c r="S56" s="622"/>
      <c r="T56" s="622"/>
      <c r="U56" s="622"/>
      <c r="V56" s="624"/>
      <c r="W56" s="625"/>
      <c r="X56" s="622"/>
      <c r="Y56" s="622"/>
      <c r="Z56" s="622"/>
      <c r="AA56" s="622"/>
      <c r="AB56" s="622"/>
      <c r="AC56" s="622"/>
      <c r="AD56" s="629"/>
      <c r="AE56" s="622"/>
      <c r="AF56" s="662" t="s">
        <v>44</v>
      </c>
      <c r="AG56" s="938">
        <f>Tasación!T48</f>
        <v>0</v>
      </c>
      <c r="AH56" s="938"/>
      <c r="AI56" s="938"/>
      <c r="AJ56" s="637" t="s">
        <v>16</v>
      </c>
      <c r="AK56" s="628"/>
    </row>
    <row r="57" spans="2:37" s="23" customFormat="1" ht="2.25" customHeight="1">
      <c r="B57" s="463"/>
      <c r="C57" s="464"/>
      <c r="D57" s="464"/>
      <c r="E57" s="464"/>
      <c r="F57" s="105"/>
      <c r="G57" s="105"/>
      <c r="H57" s="105"/>
      <c r="I57" s="105"/>
      <c r="J57" s="105"/>
      <c r="K57" s="465"/>
      <c r="L57" s="466"/>
      <c r="M57" s="466"/>
      <c r="N57" s="466"/>
      <c r="O57" s="466"/>
      <c r="P57" s="466"/>
      <c r="Q57" s="466"/>
      <c r="R57" s="466"/>
      <c r="S57" s="466"/>
      <c r="T57" s="466"/>
      <c r="U57" s="466"/>
      <c r="V57" s="466"/>
      <c r="W57" s="466"/>
      <c r="X57" s="466"/>
      <c r="Y57" s="466"/>
      <c r="Z57" s="466"/>
      <c r="AA57" s="466"/>
      <c r="AB57" s="466"/>
      <c r="AC57" s="466"/>
      <c r="AD57" s="466"/>
      <c r="AE57" s="466"/>
      <c r="AF57" s="466"/>
      <c r="AG57" s="466"/>
      <c r="AH57" s="466"/>
      <c r="AI57" s="466"/>
      <c r="AJ57" s="466"/>
      <c r="AK57" s="467"/>
    </row>
    <row r="58" spans="2:49" s="322" customFormat="1" ht="12.75" customHeight="1">
      <c r="B58" s="253"/>
      <c r="C58" s="435"/>
      <c r="D58" s="405"/>
      <c r="E58" s="480" t="s">
        <v>45</v>
      </c>
      <c r="F58" s="936"/>
      <c r="G58" s="936"/>
      <c r="H58" s="936"/>
      <c r="I58" s="936"/>
      <c r="J58" s="936"/>
      <c r="K58" s="936"/>
      <c r="L58" s="936"/>
      <c r="M58" s="936"/>
      <c r="N58" s="936"/>
      <c r="O58" s="936"/>
      <c r="P58" s="936"/>
      <c r="Q58" s="936"/>
      <c r="R58" s="936"/>
      <c r="S58" s="936"/>
      <c r="T58" s="936"/>
      <c r="U58" s="936"/>
      <c r="V58" s="936"/>
      <c r="W58" s="936"/>
      <c r="X58" s="936"/>
      <c r="Y58" s="435"/>
      <c r="Z58" s="379"/>
      <c r="AA58" s="379" t="s">
        <v>5</v>
      </c>
      <c r="AB58" s="933"/>
      <c r="AC58" s="933"/>
      <c r="AD58" s="933"/>
      <c r="AE58" s="933"/>
      <c r="AF58" s="933"/>
      <c r="AG58" s="933"/>
      <c r="AH58" s="933"/>
      <c r="AI58" s="933"/>
      <c r="AJ58" s="933"/>
      <c r="AK58" s="445"/>
      <c r="AO58" s="483" t="s">
        <v>22</v>
      </c>
      <c r="AP58" s="619"/>
      <c r="AQ58" s="618"/>
      <c r="AR58" s="483" t="s">
        <v>21</v>
      </c>
      <c r="AS58" s="483" t="s">
        <v>419</v>
      </c>
      <c r="AT58" s="483" t="s">
        <v>420</v>
      </c>
      <c r="AV58" s="326" t="s">
        <v>501</v>
      </c>
      <c r="AW58" s="787">
        <f>IF(AND(OR(J61="C",J61="D"),$AW$13&lt;30),1.1,1)</f>
        <v>1</v>
      </c>
    </row>
    <row r="59" spans="1:49" s="325" customFormat="1" ht="12.75" customHeight="1">
      <c r="A59" s="322"/>
      <c r="B59" s="433"/>
      <c r="C59" s="434"/>
      <c r="D59" s="582"/>
      <c r="E59" s="583" t="s">
        <v>238</v>
      </c>
      <c r="F59" s="600">
        <f>Tasación!N48</f>
        <v>0</v>
      </c>
      <c r="G59" s="582"/>
      <c r="H59" s="582"/>
      <c r="I59" s="582"/>
      <c r="J59" s="582"/>
      <c r="K59" s="583" t="s">
        <v>46</v>
      </c>
      <c r="L59" s="932"/>
      <c r="M59" s="932"/>
      <c r="N59" s="932"/>
      <c r="O59" s="932"/>
      <c r="P59" s="582"/>
      <c r="Q59" s="582"/>
      <c r="R59" s="583"/>
      <c r="S59" s="583"/>
      <c r="T59" s="583"/>
      <c r="U59" s="583" t="s">
        <v>257</v>
      </c>
      <c r="V59" s="600">
        <f>Tasación!M48</f>
        <v>0</v>
      </c>
      <c r="W59" s="601">
        <f>IF(V59=0,0,VLOOKUP(V59,Lista!$A$2:$B$6,2,FALSE))</f>
        <v>0</v>
      </c>
      <c r="AB59" s="167"/>
      <c r="AC59" s="601"/>
      <c r="AE59" s="480" t="s">
        <v>184</v>
      </c>
      <c r="AF59" s="584"/>
      <c r="AG59" s="674"/>
      <c r="AH59" s="674"/>
      <c r="AI59" s="608" t="s">
        <v>275</v>
      </c>
      <c r="AJ59" s="607">
        <f>Tasación!O48</f>
        <v>0</v>
      </c>
      <c r="AK59" s="444"/>
      <c r="AL59" s="344"/>
      <c r="AO59" s="668">
        <f>IF(V59=0,1,VLOOKUP(V59,Lista!$A$2:$C$6,3,FALSE))</f>
        <v>1</v>
      </c>
      <c r="AP59" s="291"/>
      <c r="AQ59" s="291"/>
      <c r="AR59" s="561">
        <f>Tasación!S48</f>
        <v>0</v>
      </c>
      <c r="AS59" s="734">
        <f>Tasación!P48</f>
        <v>1</v>
      </c>
      <c r="AT59" s="734">
        <f>Tasación!Q48</f>
        <v>1</v>
      </c>
      <c r="AV59" s="326" t="s">
        <v>502</v>
      </c>
      <c r="AW59" s="787">
        <f>IF(AND(OR(J61="E",J61="H"),$AW$13&lt;30),1.2,1)</f>
        <v>1</v>
      </c>
    </row>
    <row r="60" spans="1:49" s="325" customFormat="1" ht="12.75" customHeight="1" thickBot="1">
      <c r="A60" s="322"/>
      <c r="B60" s="481" t="s">
        <v>242</v>
      </c>
      <c r="C60" s="434"/>
      <c r="D60" s="602"/>
      <c r="E60" s="602"/>
      <c r="F60" s="582"/>
      <c r="G60" s="582"/>
      <c r="H60" s="582"/>
      <c r="I60" s="582"/>
      <c r="J60" s="583" t="s">
        <v>47</v>
      </c>
      <c r="K60" s="934"/>
      <c r="L60" s="934"/>
      <c r="M60" s="934"/>
      <c r="N60" s="934"/>
      <c r="O60" s="934"/>
      <c r="P60" s="582"/>
      <c r="W60" s="583" t="s">
        <v>243</v>
      </c>
      <c r="X60" s="943"/>
      <c r="Y60" s="943"/>
      <c r="Z60" s="943"/>
      <c r="AA60" s="943"/>
      <c r="AB60" s="943"/>
      <c r="AC60" s="943"/>
      <c r="AD60" s="943"/>
      <c r="AE60" s="943"/>
      <c r="AF60" s="943"/>
      <c r="AG60" s="943"/>
      <c r="AH60" s="943"/>
      <c r="AI60" s="943"/>
      <c r="AJ60" s="943"/>
      <c r="AK60" s="446"/>
      <c r="AL60" s="344"/>
      <c r="AP60" s="586" t="s">
        <v>427</v>
      </c>
      <c r="AQ60" s="591">
        <f>IF(J61=0,0,VLOOKUP(J61,Lista!$E$2:$H$12,4,FALSE))</f>
        <v>0</v>
      </c>
      <c r="AW60" s="789">
        <f>MAX(AW58:AW59)</f>
        <v>1</v>
      </c>
    </row>
    <row r="61" spans="1:41" s="325" customFormat="1" ht="12.75" customHeight="1">
      <c r="A61" s="357"/>
      <c r="B61" s="481" t="s">
        <v>240</v>
      </c>
      <c r="C61" s="434"/>
      <c r="D61" s="602"/>
      <c r="E61" s="602"/>
      <c r="F61" s="604"/>
      <c r="G61" s="604"/>
      <c r="H61" s="604"/>
      <c r="I61" s="605" t="s">
        <v>54</v>
      </c>
      <c r="J61" s="606">
        <f>Tasación!K48</f>
        <v>0</v>
      </c>
      <c r="K61" s="601">
        <f>IF(J61=0,0,VLOOKUP(J61,Lista!$E$2:$F$14,2,FALSE))</f>
        <v>0</v>
      </c>
      <c r="L61" s="601"/>
      <c r="M61" s="601"/>
      <c r="N61" s="601"/>
      <c r="O61" s="601"/>
      <c r="P61" s="604"/>
      <c r="Q61" s="605" t="s">
        <v>47</v>
      </c>
      <c r="R61" s="600">
        <f>Tasación!L48</f>
        <v>0</v>
      </c>
      <c r="S61" s="601">
        <f>IF(OR(R61=0,R61&gt;6),0,CHOOSE(R61,"SUPERIOR","BUENA","CORRIENTE","REGULAR","INFERIOR","DEFICIENTE"))</f>
        <v>0</v>
      </c>
      <c r="T61" s="601"/>
      <c r="U61" s="601"/>
      <c r="V61" s="604"/>
      <c r="W61" s="605" t="s">
        <v>495</v>
      </c>
      <c r="X61" s="607">
        <f>IF(AR59=0,0,VLOOKUP(AR59,Lista!$M$2:$N$8,2,FALSE))</f>
        <v>0</v>
      </c>
      <c r="Y61" s="604"/>
      <c r="Z61" s="605"/>
      <c r="AB61" s="607"/>
      <c r="AC61" s="756"/>
      <c r="AD61" s="740"/>
      <c r="AE61" s="741"/>
      <c r="AF61" s="799" t="s">
        <v>470</v>
      </c>
      <c r="AG61" s="944">
        <f>IF(OR(J61=0,R61=0,R61&lt;3,R61&gt;5),0,VLOOKUP(J61,Lista!$A$21:$J$29,R61+AO61))*$AQ$13</f>
        <v>0</v>
      </c>
      <c r="AH61" s="944"/>
      <c r="AI61" s="738" t="s">
        <v>497</v>
      </c>
      <c r="AJ61" s="757">
        <f>ROUND(AG61*(1-Z63/100)*AO59,2)</f>
        <v>0</v>
      </c>
      <c r="AK61" s="762"/>
      <c r="AL61" s="359"/>
      <c r="AM61" s="359"/>
      <c r="AN61" s="358"/>
      <c r="AO61" s="783">
        <f>IF(F59&lt;3,-1,IF($AP$6=2,5,2))</f>
        <v>-1</v>
      </c>
    </row>
    <row r="62" spans="1:41" s="325" customFormat="1" ht="12.75" customHeight="1">
      <c r="A62" s="357"/>
      <c r="B62" s="104"/>
      <c r="C62" s="484"/>
      <c r="D62" s="604"/>
      <c r="E62" s="604"/>
      <c r="F62" s="604"/>
      <c r="G62" s="604"/>
      <c r="H62" s="609" t="s">
        <v>424</v>
      </c>
      <c r="I62" s="607" t="str">
        <f>VLOOKUP(AS59,Lista!$J$2:$K$10,2)</f>
        <v>SIN REMOZ. NI DETERIORO</v>
      </c>
      <c r="J62" s="607"/>
      <c r="K62" s="607"/>
      <c r="L62" s="607"/>
      <c r="M62" s="607"/>
      <c r="N62" s="607"/>
      <c r="O62" s="607"/>
      <c r="P62" s="604"/>
      <c r="Q62" s="604"/>
      <c r="R62" s="610"/>
      <c r="S62" s="610"/>
      <c r="T62" s="611" t="s">
        <v>422</v>
      </c>
      <c r="U62" s="612">
        <f ca="1">IF(AJ59=0,0,YEAR(TODAY())-AJ59)</f>
        <v>0</v>
      </c>
      <c r="V62" s="610"/>
      <c r="W62" s="604"/>
      <c r="X62" s="485"/>
      <c r="Y62" s="485" t="s">
        <v>496</v>
      </c>
      <c r="Z62" s="613">
        <f>IF(J61="OT",0,IF(J61=0,0,VLOOKUP(J61,Lista!$E$2:$G$12,3,FALSE)))</f>
        <v>0</v>
      </c>
      <c r="AA62" s="604" t="s">
        <v>250</v>
      </c>
      <c r="AC62" s="758"/>
      <c r="AD62" s="360"/>
      <c r="AE62" s="605"/>
      <c r="AF62" s="360"/>
      <c r="AG62" s="360"/>
      <c r="AH62" s="360"/>
      <c r="AI62" s="361" t="s">
        <v>524</v>
      </c>
      <c r="AJ62" s="746">
        <f>ROUND(AO62*(1-Z63/100)*AO59,2)</f>
        <v>0</v>
      </c>
      <c r="AK62" s="763"/>
      <c r="AL62" s="323"/>
      <c r="AO62" s="782">
        <f>IF(OR(J61=0,R61=0,R61&lt;3,R61&gt;5),0,VLOOKUP(J61,Lista!$A$38:$J$48,R61+AO61))*$AQ$13</f>
        <v>0</v>
      </c>
    </row>
    <row r="63" spans="1:38" s="325" customFormat="1" ht="12.75" customHeight="1" thickBot="1">
      <c r="A63" s="357"/>
      <c r="B63" s="104"/>
      <c r="C63" s="484"/>
      <c r="D63" s="604"/>
      <c r="E63" s="604"/>
      <c r="F63" s="604"/>
      <c r="G63" s="604"/>
      <c r="H63" s="609" t="s">
        <v>425</v>
      </c>
      <c r="I63" s="607" t="str">
        <f>VLOOKUP(AT59,Lista!$J$2:$K$10,2)</f>
        <v>SIN REMOZ. NI DETERIORO</v>
      </c>
      <c r="J63" s="607"/>
      <c r="K63" s="607"/>
      <c r="L63" s="607"/>
      <c r="M63" s="607"/>
      <c r="N63" s="607"/>
      <c r="O63" s="614"/>
      <c r="P63" s="610"/>
      <c r="Q63" s="610"/>
      <c r="R63" s="610"/>
      <c r="S63" s="610"/>
      <c r="T63" s="609" t="s">
        <v>421</v>
      </c>
      <c r="U63" s="599">
        <f>INT(IF(OR(AJ59=0,R61&lt;3,R61&gt;5),U62,CHOOSE(R61-2,U62*(0.5148+0.3539*AS59+0.1313*AT59),U62*(0.5514+0.3025*AS59+0.1461*AT59),U62*(0.6432+0.208*AS59+0.1488*AT59))))</f>
        <v>0</v>
      </c>
      <c r="V63" s="604"/>
      <c r="W63" s="610"/>
      <c r="X63" s="610"/>
      <c r="Y63" s="485" t="s">
        <v>421</v>
      </c>
      <c r="Z63" s="537">
        <f>IF(J61="OT",0,IF(Z62*U63&gt;AQ60,AQ60,Z62*U63))</f>
        <v>0</v>
      </c>
      <c r="AA63" s="604" t="s">
        <v>250</v>
      </c>
      <c r="AC63" s="759"/>
      <c r="AD63" s="749"/>
      <c r="AE63" s="760"/>
      <c r="AF63" s="750"/>
      <c r="AG63" s="751"/>
      <c r="AH63" s="750"/>
      <c r="AI63" s="752" t="s">
        <v>492</v>
      </c>
      <c r="AJ63" s="753">
        <f>IF($AU$13=0,AJ61,0)</f>
        <v>0</v>
      </c>
      <c r="AK63" s="764"/>
      <c r="AL63" s="323"/>
    </row>
    <row r="64" spans="1:38" s="325" customFormat="1" ht="12.75" customHeight="1">
      <c r="A64" s="357"/>
      <c r="B64" s="486" t="s">
        <v>241</v>
      </c>
      <c r="C64" s="487"/>
      <c r="D64" s="487"/>
      <c r="E64" s="487"/>
      <c r="F64" s="491"/>
      <c r="G64" s="488"/>
      <c r="H64" s="488"/>
      <c r="I64" s="488"/>
      <c r="J64" s="488"/>
      <c r="K64" s="488"/>
      <c r="L64" s="488"/>
      <c r="M64" s="105"/>
      <c r="N64" s="488"/>
      <c r="O64" s="604"/>
      <c r="P64" s="582"/>
      <c r="Q64" s="583"/>
      <c r="R64" s="480" t="s">
        <v>179</v>
      </c>
      <c r="S64" s="943"/>
      <c r="T64" s="943"/>
      <c r="U64" s="943"/>
      <c r="V64" s="943"/>
      <c r="W64" s="943"/>
      <c r="X64" s="943"/>
      <c r="Y64" s="943"/>
      <c r="Z64" s="943"/>
      <c r="AA64" s="582"/>
      <c r="AB64" s="582"/>
      <c r="AC64" s="480" t="s">
        <v>178</v>
      </c>
      <c r="AD64" s="937"/>
      <c r="AE64" s="937"/>
      <c r="AF64" s="937"/>
      <c r="AG64" s="937"/>
      <c r="AH64" s="937"/>
      <c r="AI64" s="937"/>
      <c r="AJ64" s="937"/>
      <c r="AK64" s="446"/>
      <c r="AL64" s="344"/>
    </row>
    <row r="65" spans="1:38" s="325" customFormat="1" ht="12.75" customHeight="1">
      <c r="A65" s="322"/>
      <c r="B65" s="433"/>
      <c r="C65" s="434"/>
      <c r="D65" s="434"/>
      <c r="E65" s="434"/>
      <c r="F65" s="379" t="s">
        <v>112</v>
      </c>
      <c r="G65" s="936"/>
      <c r="H65" s="936"/>
      <c r="I65" s="936"/>
      <c r="J65" s="936"/>
      <c r="K65" s="936"/>
      <c r="L65" s="936"/>
      <c r="M65" s="936"/>
      <c r="N65" s="936"/>
      <c r="O65" s="434"/>
      <c r="P65" s="379"/>
      <c r="Q65" s="379"/>
      <c r="R65" s="379" t="s">
        <v>180</v>
      </c>
      <c r="S65" s="936"/>
      <c r="T65" s="936"/>
      <c r="U65" s="936"/>
      <c r="V65" s="936"/>
      <c r="W65" s="936"/>
      <c r="X65" s="936"/>
      <c r="Y65" s="936"/>
      <c r="Z65" s="936"/>
      <c r="AA65" s="379"/>
      <c r="AB65" s="379"/>
      <c r="AC65" s="379" t="s">
        <v>198</v>
      </c>
      <c r="AD65" s="935"/>
      <c r="AE65" s="935"/>
      <c r="AF65" s="935"/>
      <c r="AG65" s="935"/>
      <c r="AH65" s="935"/>
      <c r="AI65" s="935"/>
      <c r="AJ65" s="935"/>
      <c r="AK65" s="444"/>
      <c r="AL65" s="344"/>
    </row>
    <row r="66" spans="1:38" s="325" customFormat="1" ht="12.75" customHeight="1">
      <c r="A66" s="322"/>
      <c r="B66" s="433"/>
      <c r="C66" s="434"/>
      <c r="D66" s="434"/>
      <c r="E66" s="434"/>
      <c r="F66" s="379" t="s">
        <v>197</v>
      </c>
      <c r="G66" s="936"/>
      <c r="H66" s="936"/>
      <c r="I66" s="936"/>
      <c r="J66" s="936"/>
      <c r="K66" s="936"/>
      <c r="L66" s="936"/>
      <c r="M66" s="936"/>
      <c r="N66" s="936"/>
      <c r="O66" s="434"/>
      <c r="P66" s="379"/>
      <c r="Q66" s="379"/>
      <c r="R66" s="379" t="s">
        <v>115</v>
      </c>
      <c r="S66" s="936"/>
      <c r="T66" s="936"/>
      <c r="U66" s="936"/>
      <c r="V66" s="936"/>
      <c r="W66" s="936"/>
      <c r="X66" s="936"/>
      <c r="Y66" s="936"/>
      <c r="Z66" s="936"/>
      <c r="AA66" s="379"/>
      <c r="AB66" s="379"/>
      <c r="AC66" s="379" t="s">
        <v>111</v>
      </c>
      <c r="AD66" s="935"/>
      <c r="AE66" s="935"/>
      <c r="AF66" s="935"/>
      <c r="AG66" s="935"/>
      <c r="AH66" s="935"/>
      <c r="AI66" s="935"/>
      <c r="AJ66" s="935"/>
      <c r="AK66" s="444"/>
      <c r="AL66" s="344"/>
    </row>
    <row r="67" spans="1:38" s="325" customFormat="1" ht="12.75" customHeight="1">
      <c r="A67" s="322"/>
      <c r="B67" s="433"/>
      <c r="C67" s="434"/>
      <c r="D67" s="434"/>
      <c r="E67" s="434"/>
      <c r="F67" s="379" t="s">
        <v>244</v>
      </c>
      <c r="G67" s="936"/>
      <c r="H67" s="936"/>
      <c r="I67" s="936"/>
      <c r="J67" s="936"/>
      <c r="K67" s="936"/>
      <c r="L67" s="936"/>
      <c r="M67" s="936"/>
      <c r="N67" s="936"/>
      <c r="O67" s="434"/>
      <c r="P67" s="379"/>
      <c r="Q67" s="379"/>
      <c r="R67" s="379" t="s">
        <v>439</v>
      </c>
      <c r="S67" s="936"/>
      <c r="T67" s="936"/>
      <c r="U67" s="936"/>
      <c r="V67" s="936"/>
      <c r="W67" s="936"/>
      <c r="X67" s="936"/>
      <c r="Y67" s="936"/>
      <c r="Z67" s="936"/>
      <c r="AA67" s="379"/>
      <c r="AB67" s="379"/>
      <c r="AC67" s="379" t="s">
        <v>441</v>
      </c>
      <c r="AD67" s="489"/>
      <c r="AE67" s="281"/>
      <c r="AF67" s="379" t="s">
        <v>442</v>
      </c>
      <c r="AG67" s="489"/>
      <c r="AH67" s="379"/>
      <c r="AI67" s="379" t="s">
        <v>440</v>
      </c>
      <c r="AJ67" s="489"/>
      <c r="AK67" s="444"/>
      <c r="AL67" s="344"/>
    </row>
    <row r="68" spans="2:42" s="185" customFormat="1" ht="19.5" customHeight="1">
      <c r="B68" s="75"/>
      <c r="C68" s="79"/>
      <c r="D68" s="443"/>
      <c r="E68" s="443"/>
      <c r="F68" s="432" t="s">
        <v>117</v>
      </c>
      <c r="G68" s="882"/>
      <c r="H68" s="882"/>
      <c r="I68" s="882"/>
      <c r="J68" s="882"/>
      <c r="K68" s="882"/>
      <c r="L68" s="882"/>
      <c r="M68" s="882"/>
      <c r="N68" s="882"/>
      <c r="O68" s="882"/>
      <c r="P68" s="882"/>
      <c r="Q68" s="882"/>
      <c r="R68" s="882"/>
      <c r="S68" s="882"/>
      <c r="T68" s="882"/>
      <c r="U68" s="882"/>
      <c r="V68" s="882"/>
      <c r="W68" s="882"/>
      <c r="X68" s="882"/>
      <c r="Y68" s="882"/>
      <c r="Z68" s="882"/>
      <c r="AA68" s="882"/>
      <c r="AB68" s="882"/>
      <c r="AC68" s="882"/>
      <c r="AD68" s="882"/>
      <c r="AE68" s="882"/>
      <c r="AF68" s="882"/>
      <c r="AG68" s="882"/>
      <c r="AH68" s="882"/>
      <c r="AI68" s="882"/>
      <c r="AJ68" s="882"/>
      <c r="AK68" s="444"/>
      <c r="AL68" s="12"/>
      <c r="AO68" s="670"/>
      <c r="AP68" s="671"/>
    </row>
    <row r="69" spans="1:38" s="51" customFormat="1" ht="2.25" customHeight="1">
      <c r="A69" s="286"/>
      <c r="B69" s="468"/>
      <c r="C69" s="457"/>
      <c r="D69" s="457"/>
      <c r="E69" s="457"/>
      <c r="F69" s="457"/>
      <c r="G69" s="457"/>
      <c r="H69" s="457"/>
      <c r="I69" s="457"/>
      <c r="J69" s="457"/>
      <c r="K69" s="457"/>
      <c r="L69" s="457"/>
      <c r="M69" s="457"/>
      <c r="N69" s="457"/>
      <c r="O69" s="457"/>
      <c r="P69" s="457"/>
      <c r="Q69" s="457"/>
      <c r="R69" s="457"/>
      <c r="S69" s="457"/>
      <c r="T69" s="457"/>
      <c r="U69" s="457"/>
      <c r="V69" s="457"/>
      <c r="W69" s="457"/>
      <c r="X69" s="457"/>
      <c r="Y69" s="457"/>
      <c r="Z69" s="457"/>
      <c r="AA69" s="457"/>
      <c r="AB69" s="469"/>
      <c r="AC69" s="470"/>
      <c r="AD69" s="457"/>
      <c r="AE69" s="457"/>
      <c r="AF69" s="457"/>
      <c r="AG69" s="461"/>
      <c r="AH69" s="457"/>
      <c r="AI69" s="457"/>
      <c r="AJ69" s="457"/>
      <c r="AK69" s="462"/>
      <c r="AL69" s="7"/>
    </row>
    <row r="70" spans="1:44" s="2" customFormat="1" ht="12" customHeight="1">
      <c r="A70" s="663"/>
      <c r="B70" s="664"/>
      <c r="C70" s="665" t="s">
        <v>125</v>
      </c>
      <c r="D70" s="665"/>
      <c r="E70" s="665"/>
      <c r="F70" s="633"/>
      <c r="G70" s="633"/>
      <c r="H70" s="633"/>
      <c r="I70" s="633"/>
      <c r="J70" s="633"/>
      <c r="K70" s="633"/>
      <c r="L70" s="633"/>
      <c r="M70" s="633"/>
      <c r="N70" s="633"/>
      <c r="O70" s="633"/>
      <c r="P70" s="633"/>
      <c r="Q70" s="633"/>
      <c r="R70" s="633"/>
      <c r="S70" s="633"/>
      <c r="T70" s="633"/>
      <c r="U70" s="633"/>
      <c r="V70" s="633"/>
      <c r="W70" s="633"/>
      <c r="X70" s="633"/>
      <c r="Y70" s="633"/>
      <c r="Z70" s="633"/>
      <c r="AA70" s="633"/>
      <c r="AB70" s="633"/>
      <c r="AC70" s="633"/>
      <c r="AD70" s="633"/>
      <c r="AE70" s="662" t="s">
        <v>479</v>
      </c>
      <c r="AF70" s="956" t="str">
        <f>Tasación!K50</f>
        <v>Promedio</v>
      </c>
      <c r="AG70" s="956"/>
      <c r="AH70" s="956"/>
      <c r="AI70" s="955">
        <f>IF(AF70="Mínima",AJ72-AJ73,IF(AF70="Máxima",AJ72+AJ73,IF(AF70="S/listado",0,AJ72)))</f>
        <v>0</v>
      </c>
      <c r="AJ70" s="955">
        <f>IF(AI70="Mínima",$AJ$72,IF(AI70="Máxima",$AJ$73,$AO$70))</f>
        <v>0</v>
      </c>
      <c r="AK70" s="666"/>
      <c r="AO70" s="671"/>
      <c r="AQ70" s="185"/>
      <c r="AR70" s="185"/>
    </row>
    <row r="71" spans="1:38" s="51" customFormat="1" ht="2.25" customHeight="1">
      <c r="A71" s="2"/>
      <c r="B71" s="433"/>
      <c r="C71" s="435"/>
      <c r="D71" s="435"/>
      <c r="E71" s="435"/>
      <c r="F71" s="435"/>
      <c r="G71" s="435"/>
      <c r="H71" s="435"/>
      <c r="I71" s="435"/>
      <c r="J71" s="435"/>
      <c r="K71" s="435"/>
      <c r="L71" s="435"/>
      <c r="M71" s="435"/>
      <c r="N71" s="435"/>
      <c r="O71" s="435"/>
      <c r="P71" s="435"/>
      <c r="Q71" s="435"/>
      <c r="R71" s="435"/>
      <c r="S71" s="435"/>
      <c r="T71" s="435"/>
      <c r="U71" s="435"/>
      <c r="V71" s="435"/>
      <c r="W71" s="435"/>
      <c r="X71" s="435"/>
      <c r="Y71" s="435"/>
      <c r="Z71" s="434"/>
      <c r="AA71" s="435"/>
      <c r="AB71" s="471"/>
      <c r="AC71" s="472"/>
      <c r="AD71" s="435"/>
      <c r="AE71" s="435"/>
      <c r="AF71" s="435"/>
      <c r="AG71" s="473"/>
      <c r="AH71" s="435"/>
      <c r="AI71" s="435"/>
      <c r="AJ71" s="435"/>
      <c r="AK71" s="436"/>
      <c r="AL71" s="7"/>
    </row>
    <row r="72" spans="1:41" s="325" customFormat="1" ht="12.75" customHeight="1">
      <c r="A72" s="322"/>
      <c r="B72" s="75"/>
      <c r="D72" s="74"/>
      <c r="E72" s="74"/>
      <c r="F72" s="73" t="s">
        <v>134</v>
      </c>
      <c r="G72" s="949"/>
      <c r="H72" s="949"/>
      <c r="I72" s="949"/>
      <c r="J72" s="949"/>
      <c r="K72" s="949"/>
      <c r="L72" s="949"/>
      <c r="M72" s="949"/>
      <c r="N72" s="949"/>
      <c r="O72" s="79"/>
      <c r="P72" s="74"/>
      <c r="Q72" s="74"/>
      <c r="R72" s="73" t="s">
        <v>451</v>
      </c>
      <c r="S72" s="949"/>
      <c r="T72" s="949"/>
      <c r="U72" s="949"/>
      <c r="V72" s="949"/>
      <c r="W72" s="949"/>
      <c r="X72" s="79"/>
      <c r="Y72" s="79"/>
      <c r="AB72" s="73" t="s">
        <v>56</v>
      </c>
      <c r="AC72" s="72"/>
      <c r="AD72" s="358"/>
      <c r="AE72" s="358"/>
      <c r="AF72" s="677"/>
      <c r="AG72" s="677"/>
      <c r="AH72" s="677"/>
      <c r="AI72" s="716" t="s">
        <v>480</v>
      </c>
      <c r="AJ72" s="672">
        <f>IF(OR($R$17&gt;5,$R$17&lt;3),0,CHOOSE($R$17-2,0.0456,0.0353,0.02))</f>
        <v>0</v>
      </c>
      <c r="AK72" s="444"/>
      <c r="AL72" s="344"/>
      <c r="AO72" s="672"/>
    </row>
    <row r="73" spans="2:41" s="325" customFormat="1" ht="12.75" customHeight="1">
      <c r="B73" s="75"/>
      <c r="C73" s="79"/>
      <c r="F73" s="73" t="s">
        <v>115</v>
      </c>
      <c r="G73" s="952"/>
      <c r="H73" s="952"/>
      <c r="I73" s="311"/>
      <c r="J73" s="675"/>
      <c r="K73" s="73" t="s">
        <v>55</v>
      </c>
      <c r="L73" s="72"/>
      <c r="M73" s="951"/>
      <c r="N73" s="951"/>
      <c r="O73" s="434"/>
      <c r="P73" s="676"/>
      <c r="Q73" s="434"/>
      <c r="R73" s="73" t="s">
        <v>57</v>
      </c>
      <c r="S73" s="949"/>
      <c r="T73" s="949"/>
      <c r="U73" s="949"/>
      <c r="V73" s="949"/>
      <c r="W73" s="949"/>
      <c r="X73" s="79"/>
      <c r="Y73" s="79"/>
      <c r="Z73" s="79"/>
      <c r="AB73" s="73" t="s">
        <v>258</v>
      </c>
      <c r="AC73" s="72"/>
      <c r="AD73" s="950"/>
      <c r="AE73" s="950"/>
      <c r="AF73" s="358"/>
      <c r="AG73" s="358"/>
      <c r="AH73" s="358"/>
      <c r="AI73" s="716" t="s">
        <v>481</v>
      </c>
      <c r="AJ73" s="672">
        <f>IF(OR($R$17&gt;5,$R$17&lt;3),0,CHOOSE($R$17-2,0.0056,0.00705,0.00965))</f>
        <v>0</v>
      </c>
      <c r="AK73" s="444"/>
      <c r="AL73" s="344"/>
      <c r="AO73" s="715"/>
    </row>
    <row r="74" spans="2:41" s="281" customFormat="1" ht="27.75" customHeight="1">
      <c r="B74" s="433"/>
      <c r="D74" s="443"/>
      <c r="E74" s="443"/>
      <c r="F74" s="432" t="s">
        <v>117</v>
      </c>
      <c r="G74" s="882"/>
      <c r="H74" s="882"/>
      <c r="I74" s="882"/>
      <c r="J74" s="882"/>
      <c r="K74" s="882"/>
      <c r="L74" s="882"/>
      <c r="M74" s="882"/>
      <c r="N74" s="882"/>
      <c r="O74" s="882"/>
      <c r="P74" s="882"/>
      <c r="Q74" s="882"/>
      <c r="R74" s="882"/>
      <c r="S74" s="882"/>
      <c r="T74" s="882"/>
      <c r="U74" s="882"/>
      <c r="V74" s="882"/>
      <c r="W74" s="882"/>
      <c r="X74" s="882"/>
      <c r="Y74" s="882"/>
      <c r="Z74" s="882"/>
      <c r="AA74" s="882"/>
      <c r="AB74" s="882"/>
      <c r="AC74" s="882"/>
      <c r="AD74" s="882"/>
      <c r="AE74" s="882"/>
      <c r="AF74" s="882"/>
      <c r="AG74" s="882"/>
      <c r="AH74" s="882"/>
      <c r="AI74" s="882"/>
      <c r="AJ74" s="882"/>
      <c r="AK74" s="436"/>
      <c r="AL74" s="330"/>
      <c r="AO74" s="671"/>
    </row>
    <row r="75" spans="1:40" ht="2.25" customHeight="1">
      <c r="A75" s="286">
        <v>1</v>
      </c>
      <c r="B75" s="474"/>
      <c r="C75" s="475"/>
      <c r="D75" s="475"/>
      <c r="E75" s="475"/>
      <c r="F75" s="475"/>
      <c r="G75" s="475"/>
      <c r="H75" s="475"/>
      <c r="I75" s="475"/>
      <c r="J75" s="475"/>
      <c r="K75" s="475"/>
      <c r="L75" s="475"/>
      <c r="M75" s="475"/>
      <c r="N75" s="475"/>
      <c r="O75" s="475"/>
      <c r="P75" s="475"/>
      <c r="Q75" s="475"/>
      <c r="R75" s="475"/>
      <c r="S75" s="475"/>
      <c r="T75" s="475"/>
      <c r="U75" s="475"/>
      <c r="V75" s="475"/>
      <c r="W75" s="475"/>
      <c r="X75" s="475"/>
      <c r="Y75" s="475"/>
      <c r="Z75" s="475"/>
      <c r="AA75" s="475"/>
      <c r="AB75" s="476"/>
      <c r="AC75" s="477"/>
      <c r="AD75" s="475"/>
      <c r="AE75" s="475"/>
      <c r="AF75" s="475"/>
      <c r="AG75" s="478"/>
      <c r="AH75" s="475"/>
      <c r="AI75" s="475"/>
      <c r="AJ75" s="475"/>
      <c r="AK75" s="479"/>
      <c r="AM75" s="50"/>
      <c r="AN75" s="50"/>
    </row>
    <row r="76" spans="2:37" s="175" customFormat="1" ht="12" customHeight="1" hidden="1">
      <c r="B76" s="620"/>
      <c r="C76" s="621" t="s">
        <v>137</v>
      </c>
      <c r="D76" s="621"/>
      <c r="E76" s="621"/>
      <c r="F76" s="622"/>
      <c r="G76" s="622"/>
      <c r="H76" s="622"/>
      <c r="I76" s="622"/>
      <c r="J76" s="622"/>
      <c r="K76" s="622"/>
      <c r="L76" s="622"/>
      <c r="M76" s="622"/>
      <c r="N76" s="623"/>
      <c r="O76" s="622"/>
      <c r="P76" s="667"/>
      <c r="Q76" s="622"/>
      <c r="R76" s="622"/>
      <c r="S76" s="622"/>
      <c r="T76" s="622"/>
      <c r="U76" s="622"/>
      <c r="V76" s="624"/>
      <c r="W76" s="625"/>
      <c r="X76" s="622"/>
      <c r="Y76" s="622"/>
      <c r="Z76" s="622"/>
      <c r="AA76" s="622"/>
      <c r="AB76" s="622"/>
      <c r="AC76" s="622"/>
      <c r="AD76" s="629"/>
      <c r="AE76" s="622"/>
      <c r="AF76" s="662" t="s">
        <v>44</v>
      </c>
      <c r="AG76" s="954"/>
      <c r="AH76" s="954"/>
      <c r="AI76" s="954"/>
      <c r="AJ76" s="637" t="s">
        <v>16</v>
      </c>
      <c r="AK76" s="628"/>
    </row>
    <row r="77" spans="2:37" s="23" customFormat="1" ht="2.25" customHeight="1" hidden="1">
      <c r="B77" s="463"/>
      <c r="C77" s="464"/>
      <c r="D77" s="464"/>
      <c r="E77" s="464"/>
      <c r="F77" s="105"/>
      <c r="G77" s="105"/>
      <c r="H77" s="105"/>
      <c r="I77" s="105"/>
      <c r="J77" s="105"/>
      <c r="K77" s="465"/>
      <c r="L77" s="466"/>
      <c r="M77" s="466"/>
      <c r="N77" s="466"/>
      <c r="O77" s="466"/>
      <c r="P77" s="466"/>
      <c r="Q77" s="466"/>
      <c r="R77" s="466"/>
      <c r="S77" s="466"/>
      <c r="T77" s="466"/>
      <c r="U77" s="466"/>
      <c r="V77" s="466"/>
      <c r="W77" s="466"/>
      <c r="X77" s="466"/>
      <c r="Y77" s="466"/>
      <c r="Z77" s="466"/>
      <c r="AA77" s="466"/>
      <c r="AB77" s="466"/>
      <c r="AC77" s="466"/>
      <c r="AD77" s="466"/>
      <c r="AE77" s="466"/>
      <c r="AF77" s="466"/>
      <c r="AG77" s="466"/>
      <c r="AH77" s="466"/>
      <c r="AI77" s="466"/>
      <c r="AJ77" s="466"/>
      <c r="AK77" s="467"/>
    </row>
    <row r="78" spans="2:49" s="322" customFormat="1" ht="12.75" customHeight="1" hidden="1">
      <c r="B78" s="253"/>
      <c r="C78" s="435"/>
      <c r="D78" s="405"/>
      <c r="E78" s="480" t="s">
        <v>45</v>
      </c>
      <c r="F78" s="936"/>
      <c r="G78" s="936"/>
      <c r="H78" s="936"/>
      <c r="I78" s="936"/>
      <c r="J78" s="936"/>
      <c r="K78" s="936"/>
      <c r="L78" s="936"/>
      <c r="M78" s="936"/>
      <c r="N78" s="936"/>
      <c r="O78" s="936"/>
      <c r="P78" s="936"/>
      <c r="Q78" s="936"/>
      <c r="R78" s="936"/>
      <c r="S78" s="936"/>
      <c r="T78" s="936"/>
      <c r="U78" s="936"/>
      <c r="V78" s="936"/>
      <c r="W78" s="936"/>
      <c r="X78" s="936"/>
      <c r="Y78" s="435"/>
      <c r="Z78" s="379"/>
      <c r="AA78" s="379" t="s">
        <v>5</v>
      </c>
      <c r="AB78" s="933"/>
      <c r="AC78" s="933"/>
      <c r="AD78" s="933"/>
      <c r="AE78" s="933"/>
      <c r="AF78" s="933"/>
      <c r="AG78" s="933"/>
      <c r="AH78" s="933"/>
      <c r="AI78" s="933"/>
      <c r="AJ78" s="933"/>
      <c r="AK78" s="445"/>
      <c r="AO78" s="483" t="s">
        <v>22</v>
      </c>
      <c r="AP78" s="619"/>
      <c r="AQ78" s="618"/>
      <c r="AR78" s="483"/>
      <c r="AS78" s="483"/>
      <c r="AT78" s="483"/>
      <c r="AV78" s="326" t="s">
        <v>501</v>
      </c>
      <c r="AW78" s="787">
        <f>IF(AND(OR(J81="C",J81="D"),$AW$13&lt;30),1.1,1)</f>
        <v>1</v>
      </c>
    </row>
    <row r="79" spans="1:49" s="325" customFormat="1" ht="12.75" customHeight="1" hidden="1">
      <c r="A79" s="322"/>
      <c r="B79" s="433"/>
      <c r="C79" s="434"/>
      <c r="D79" s="582"/>
      <c r="E79" s="583" t="s">
        <v>238</v>
      </c>
      <c r="F79" s="585"/>
      <c r="G79" s="582"/>
      <c r="H79" s="582"/>
      <c r="I79" s="582"/>
      <c r="J79" s="582"/>
      <c r="K79" s="583" t="s">
        <v>46</v>
      </c>
      <c r="L79" s="932"/>
      <c r="M79" s="932"/>
      <c r="N79" s="932"/>
      <c r="O79" s="932"/>
      <c r="P79" s="582"/>
      <c r="Q79" s="582"/>
      <c r="R79" s="582"/>
      <c r="S79" s="583"/>
      <c r="T79" s="674"/>
      <c r="U79" s="583" t="s">
        <v>257</v>
      </c>
      <c r="V79" s="519"/>
      <c r="W79" s="601">
        <f>IF(V79=0,0,VLOOKUP(V79,Lista!$A$2:$B$6,2,FALSE))</f>
        <v>0</v>
      </c>
      <c r="AC79" s="601"/>
      <c r="AE79" s="480" t="s">
        <v>184</v>
      </c>
      <c r="AF79" s="584"/>
      <c r="AG79" s="674"/>
      <c r="AH79" s="674"/>
      <c r="AI79" s="608" t="s">
        <v>275</v>
      </c>
      <c r="AJ79" s="584"/>
      <c r="AK79" s="444"/>
      <c r="AL79" s="344"/>
      <c r="AO79" s="668">
        <f>IF(V79=0,1,VLOOKUP(V79,Lista!$A$2:$C$6,3,FALSE))</f>
        <v>1</v>
      </c>
      <c r="AP79" s="291"/>
      <c r="AQ79" s="291"/>
      <c r="AR79" s="561"/>
      <c r="AS79" s="734"/>
      <c r="AT79" s="734"/>
      <c r="AV79" s="326" t="s">
        <v>502</v>
      </c>
      <c r="AW79" s="787">
        <f>IF(AND(OR(J81="E",J81="H"),$AW$13&lt;30),1.2,1)</f>
        <v>1</v>
      </c>
    </row>
    <row r="80" spans="2:49" s="322" customFormat="1" ht="12.75" customHeight="1" hidden="1" thickBot="1">
      <c r="B80" s="481" t="s">
        <v>242</v>
      </c>
      <c r="C80" s="434"/>
      <c r="D80" s="602"/>
      <c r="E80" s="602"/>
      <c r="F80" s="582"/>
      <c r="G80" s="582"/>
      <c r="H80" s="582"/>
      <c r="I80" s="582"/>
      <c r="J80" s="583" t="s">
        <v>47</v>
      </c>
      <c r="K80" s="934"/>
      <c r="L80" s="934"/>
      <c r="M80" s="934"/>
      <c r="N80" s="934"/>
      <c r="O80" s="934"/>
      <c r="P80" s="582"/>
      <c r="Q80" s="325"/>
      <c r="R80" s="325"/>
      <c r="S80" s="325"/>
      <c r="T80" s="325"/>
      <c r="U80" s="325"/>
      <c r="V80" s="325"/>
      <c r="W80" s="583" t="s">
        <v>243</v>
      </c>
      <c r="X80" s="943"/>
      <c r="Y80" s="943"/>
      <c r="Z80" s="943"/>
      <c r="AA80" s="943"/>
      <c r="AB80" s="943"/>
      <c r="AC80" s="943"/>
      <c r="AD80" s="943"/>
      <c r="AE80" s="943"/>
      <c r="AF80" s="943"/>
      <c r="AG80" s="943"/>
      <c r="AH80" s="943"/>
      <c r="AI80" s="943"/>
      <c r="AJ80" s="943"/>
      <c r="AK80" s="446"/>
      <c r="AL80" s="774"/>
      <c r="AO80" s="325"/>
      <c r="AP80" s="586" t="s">
        <v>427</v>
      </c>
      <c r="AQ80" s="591">
        <f>IF(J81=0,0,VLOOKUP(J81,Lista!$E$2:$H$12,4,FALSE))</f>
        <v>0</v>
      </c>
      <c r="AR80" s="325"/>
      <c r="AS80" s="325"/>
      <c r="AT80" s="325"/>
      <c r="AU80" s="325"/>
      <c r="AV80" s="325"/>
      <c r="AW80" s="789">
        <f>MAX(AW78:AW79)</f>
        <v>1</v>
      </c>
    </row>
    <row r="81" spans="1:48" s="322" customFormat="1" ht="12.75" customHeight="1" hidden="1">
      <c r="A81" s="357"/>
      <c r="B81" s="481" t="s">
        <v>240</v>
      </c>
      <c r="C81" s="434"/>
      <c r="D81" s="602"/>
      <c r="E81" s="602"/>
      <c r="F81" s="604"/>
      <c r="G81" s="604"/>
      <c r="H81" s="604"/>
      <c r="I81" s="605" t="s">
        <v>54</v>
      </c>
      <c r="J81" s="416"/>
      <c r="K81" s="601">
        <f>IF(J81=0,0,VLOOKUP(J81,Lista!$E$2:$F$14,2,FALSE))</f>
        <v>0</v>
      </c>
      <c r="L81" s="601"/>
      <c r="M81" s="601"/>
      <c r="N81" s="601"/>
      <c r="O81" s="601"/>
      <c r="P81" s="604"/>
      <c r="Q81" s="605" t="s">
        <v>47</v>
      </c>
      <c r="R81" s="585"/>
      <c r="S81" s="601">
        <f>IF(OR(R81=0,R81&gt;6),0,CHOOSE(R81,"SUPERIOR","BUENA","CORRIENTE","REGULAR","INFERIOR","DEFICIENTE"))</f>
        <v>0</v>
      </c>
      <c r="T81" s="601"/>
      <c r="U81" s="601"/>
      <c r="V81" s="604"/>
      <c r="W81" s="605" t="s">
        <v>495</v>
      </c>
      <c r="X81" s="945"/>
      <c r="Y81" s="945"/>
      <c r="Z81" s="945"/>
      <c r="AA81" s="945"/>
      <c r="AB81" s="945"/>
      <c r="AC81" s="739"/>
      <c r="AD81" s="765"/>
      <c r="AE81" s="765"/>
      <c r="AF81" s="741" t="s">
        <v>470</v>
      </c>
      <c r="AG81" s="944">
        <f>IF(OR(J81=0,R81=0,R81&lt;3,R81&gt;5),0,VLOOKUP(J81,Lista!$A$21:$J$29,R81+AO81))*$AQ$13</f>
        <v>0</v>
      </c>
      <c r="AH81" s="944"/>
      <c r="AI81" s="738" t="s">
        <v>497</v>
      </c>
      <c r="AJ81" s="757">
        <f>ROUND(AG81*(1-Z83/100)*AO79,2)</f>
        <v>0</v>
      </c>
      <c r="AK81" s="743"/>
      <c r="AL81" s="775"/>
      <c r="AM81" s="359"/>
      <c r="AN81" s="357"/>
      <c r="AO81" s="709">
        <f>IF(F79&lt;3,-1,IF($AP$6=2,5,2))</f>
        <v>-1</v>
      </c>
      <c r="AP81" s="325"/>
      <c r="AQ81" s="325"/>
      <c r="AR81" s="325"/>
      <c r="AS81" s="325"/>
      <c r="AT81" s="325"/>
      <c r="AU81" s="325"/>
      <c r="AV81" s="325"/>
    </row>
    <row r="82" spans="1:48" s="322" customFormat="1" ht="12.75" customHeight="1" hidden="1">
      <c r="A82" s="357"/>
      <c r="B82" s="104"/>
      <c r="C82" s="484"/>
      <c r="D82" s="604"/>
      <c r="E82" s="604"/>
      <c r="F82" s="604"/>
      <c r="G82" s="609" t="s">
        <v>449</v>
      </c>
      <c r="H82" s="953">
        <v>1</v>
      </c>
      <c r="I82" s="953"/>
      <c r="J82" s="601" t="str">
        <f>VLOOKUP(H82,Lista!$J$2:$K$10,2)</f>
        <v>SIN REMOZ. NI DETERIORO</v>
      </c>
      <c r="K82" s="678"/>
      <c r="L82" s="678"/>
      <c r="M82" s="678"/>
      <c r="N82" s="678"/>
      <c r="O82" s="678"/>
      <c r="P82" s="678"/>
      <c r="Q82" s="604"/>
      <c r="R82" s="610"/>
      <c r="S82" s="610"/>
      <c r="T82" s="611" t="s">
        <v>422</v>
      </c>
      <c r="U82" s="612">
        <f ca="1">IF(AJ79=0,0,YEAR(TODAY())-AJ79)</f>
        <v>0</v>
      </c>
      <c r="V82" s="610"/>
      <c r="W82" s="604"/>
      <c r="X82" s="610"/>
      <c r="Y82" s="485" t="s">
        <v>496</v>
      </c>
      <c r="Z82" s="613">
        <f>IF(J81=0,0,VLOOKUP(J81,Lista!$E$2:$G$12,3,FALSE))</f>
        <v>0</v>
      </c>
      <c r="AA82" s="604" t="s">
        <v>250</v>
      </c>
      <c r="AB82" s="325"/>
      <c r="AC82" s="766"/>
      <c r="AD82" s="360"/>
      <c r="AE82" s="360"/>
      <c r="AF82" s="360"/>
      <c r="AG82" s="360"/>
      <c r="AH82" s="360"/>
      <c r="AI82" s="361" t="s">
        <v>498</v>
      </c>
      <c r="AJ82" s="746">
        <f>ROUND(AO82*(1-Z83/100)*AO79,2)</f>
        <v>0</v>
      </c>
      <c r="AK82" s="449"/>
      <c r="AL82" s="776"/>
      <c r="AO82" s="708">
        <f>IF(OR(J81=0,R81=0,R81&lt;3,R81&gt;5),0,VLOOKUP(J81,Lista!$A$38:$J$48,R81+AO81))*$AQ$13</f>
        <v>0</v>
      </c>
      <c r="AP82" s="325"/>
      <c r="AQ82" s="325"/>
      <c r="AR82" s="325"/>
      <c r="AS82" s="325"/>
      <c r="AT82" s="325"/>
      <c r="AU82" s="325"/>
      <c r="AV82" s="325"/>
    </row>
    <row r="83" spans="1:38" s="322" customFormat="1" ht="12.75" customHeight="1" hidden="1" thickBot="1">
      <c r="A83" s="357"/>
      <c r="B83" s="104"/>
      <c r="C83" s="484"/>
      <c r="D83" s="604"/>
      <c r="E83" s="604"/>
      <c r="F83" s="604"/>
      <c r="G83" s="609" t="s">
        <v>450</v>
      </c>
      <c r="H83" s="953">
        <v>1</v>
      </c>
      <c r="I83" s="953"/>
      <c r="J83" s="601" t="str">
        <f>VLOOKUP(H83,Lista!$J$2:$K$10,2)</f>
        <v>SIN REMOZ. NI DETERIORO</v>
      </c>
      <c r="K83" s="678"/>
      <c r="L83" s="678"/>
      <c r="M83" s="678"/>
      <c r="N83" s="678"/>
      <c r="O83" s="678"/>
      <c r="P83" s="678"/>
      <c r="Q83" s="610"/>
      <c r="R83" s="610"/>
      <c r="S83" s="610"/>
      <c r="T83" s="609" t="s">
        <v>421</v>
      </c>
      <c r="U83" s="599">
        <f>INT(IF(OR(AJ79=0,R81&lt;3,R81&gt;5),U82,CHOOSE(R81-2,U82*(0.5148+0.3539*H82+0.1313*H83),U82*(0.5514+0.3025*H82+0.1461*H83),U82*(0.6432+0.208*H82+0.1488*H83))))</f>
        <v>0</v>
      </c>
      <c r="V83" s="604"/>
      <c r="W83" s="610"/>
      <c r="X83" s="610"/>
      <c r="Y83" s="485" t="s">
        <v>421</v>
      </c>
      <c r="Z83" s="537">
        <f>IF(Z82*U83&gt;AQ80,AQ80,Z82*U83)</f>
        <v>0</v>
      </c>
      <c r="AA83" s="604" t="s">
        <v>250</v>
      </c>
      <c r="AB83" s="325"/>
      <c r="AC83" s="767"/>
      <c r="AD83" s="749"/>
      <c r="AE83" s="749"/>
      <c r="AF83" s="750"/>
      <c r="AG83" s="751"/>
      <c r="AH83" s="750"/>
      <c r="AI83" s="752" t="s">
        <v>492</v>
      </c>
      <c r="AJ83" s="753">
        <f>IF($AU$13=0,AJ81,0)</f>
        <v>0</v>
      </c>
      <c r="AK83" s="761"/>
      <c r="AL83" s="776"/>
    </row>
    <row r="84" spans="1:40" s="325" customFormat="1" ht="12.75" customHeight="1" hidden="1">
      <c r="A84" s="357"/>
      <c r="B84" s="486" t="s">
        <v>241</v>
      </c>
      <c r="C84" s="487"/>
      <c r="D84" s="487"/>
      <c r="E84" s="487"/>
      <c r="F84" s="491"/>
      <c r="G84" s="488"/>
      <c r="H84" s="488"/>
      <c r="I84" s="488"/>
      <c r="J84" s="488"/>
      <c r="K84" s="488"/>
      <c r="L84" s="488"/>
      <c r="M84" s="105"/>
      <c r="N84" s="488"/>
      <c r="O84" s="604"/>
      <c r="P84" s="582"/>
      <c r="Q84" s="583"/>
      <c r="R84" s="480" t="s">
        <v>179</v>
      </c>
      <c r="S84" s="943"/>
      <c r="T84" s="943"/>
      <c r="U84" s="943"/>
      <c r="V84" s="943"/>
      <c r="W84" s="943"/>
      <c r="X84" s="943"/>
      <c r="Y84" s="943"/>
      <c r="Z84" s="943"/>
      <c r="AA84" s="582"/>
      <c r="AB84" s="582"/>
      <c r="AC84" s="480" t="s">
        <v>178</v>
      </c>
      <c r="AD84" s="943"/>
      <c r="AE84" s="943"/>
      <c r="AF84" s="943"/>
      <c r="AG84" s="943"/>
      <c r="AH84" s="943"/>
      <c r="AI84" s="943"/>
      <c r="AJ84" s="943"/>
      <c r="AK84" s="446"/>
      <c r="AL84" s="774"/>
      <c r="AM84" s="322"/>
      <c r="AN84" s="322"/>
    </row>
    <row r="85" spans="1:40" s="325" customFormat="1" ht="12.75" customHeight="1" hidden="1">
      <c r="A85" s="322"/>
      <c r="B85" s="433"/>
      <c r="C85" s="434"/>
      <c r="D85" s="434"/>
      <c r="E85" s="434"/>
      <c r="F85" s="379" t="s">
        <v>112</v>
      </c>
      <c r="G85" s="936"/>
      <c r="H85" s="936"/>
      <c r="I85" s="936"/>
      <c r="J85" s="936"/>
      <c r="K85" s="936"/>
      <c r="L85" s="936"/>
      <c r="M85" s="936"/>
      <c r="N85" s="936"/>
      <c r="O85" s="434"/>
      <c r="P85" s="379"/>
      <c r="Q85" s="379"/>
      <c r="R85" s="379" t="s">
        <v>180</v>
      </c>
      <c r="S85" s="936"/>
      <c r="T85" s="936"/>
      <c r="U85" s="936"/>
      <c r="V85" s="936"/>
      <c r="W85" s="936"/>
      <c r="X85" s="936"/>
      <c r="Y85" s="936"/>
      <c r="Z85" s="936"/>
      <c r="AA85" s="379"/>
      <c r="AB85" s="379"/>
      <c r="AC85" s="379" t="s">
        <v>198</v>
      </c>
      <c r="AD85" s="943"/>
      <c r="AE85" s="943"/>
      <c r="AF85" s="943"/>
      <c r="AG85" s="943"/>
      <c r="AH85" s="943"/>
      <c r="AI85" s="943"/>
      <c r="AJ85" s="943"/>
      <c r="AK85" s="444"/>
      <c r="AL85" s="344"/>
      <c r="AM85" s="322"/>
      <c r="AN85" s="322"/>
    </row>
    <row r="86" spans="1:40" s="325" customFormat="1" ht="12.75" customHeight="1" hidden="1">
      <c r="A86" s="322"/>
      <c r="B86" s="433"/>
      <c r="C86" s="434"/>
      <c r="D86" s="434"/>
      <c r="E86" s="434"/>
      <c r="F86" s="379" t="s">
        <v>197</v>
      </c>
      <c r="G86" s="936"/>
      <c r="H86" s="936"/>
      <c r="I86" s="936"/>
      <c r="J86" s="936"/>
      <c r="K86" s="936"/>
      <c r="L86" s="936"/>
      <c r="M86" s="936"/>
      <c r="N86" s="936"/>
      <c r="O86" s="434"/>
      <c r="P86" s="379"/>
      <c r="Q86" s="379"/>
      <c r="R86" s="379" t="s">
        <v>115</v>
      </c>
      <c r="S86" s="936"/>
      <c r="T86" s="936"/>
      <c r="U86" s="936"/>
      <c r="V86" s="936"/>
      <c r="W86" s="936"/>
      <c r="X86" s="936"/>
      <c r="Y86" s="936"/>
      <c r="Z86" s="936"/>
      <c r="AA86" s="379"/>
      <c r="AB86" s="379"/>
      <c r="AC86" s="379" t="s">
        <v>111</v>
      </c>
      <c r="AD86" s="943"/>
      <c r="AE86" s="943"/>
      <c r="AF86" s="943"/>
      <c r="AG86" s="943"/>
      <c r="AH86" s="943"/>
      <c r="AI86" s="943"/>
      <c r="AJ86" s="943"/>
      <c r="AK86" s="444"/>
      <c r="AL86" s="344"/>
      <c r="AM86" s="322"/>
      <c r="AN86" s="322"/>
    </row>
    <row r="87" spans="1:40" s="325" customFormat="1" ht="12.75" customHeight="1" hidden="1">
      <c r="A87" s="322"/>
      <c r="B87" s="433"/>
      <c r="C87" s="434"/>
      <c r="D87" s="434"/>
      <c r="E87" s="434"/>
      <c r="F87" s="379" t="s">
        <v>244</v>
      </c>
      <c r="G87" s="936"/>
      <c r="H87" s="936"/>
      <c r="I87" s="936"/>
      <c r="J87" s="936"/>
      <c r="K87" s="936"/>
      <c r="L87" s="936"/>
      <c r="M87" s="936"/>
      <c r="N87" s="936"/>
      <c r="O87" s="434"/>
      <c r="P87" s="379"/>
      <c r="Q87" s="379"/>
      <c r="R87" s="379" t="s">
        <v>439</v>
      </c>
      <c r="S87" s="936"/>
      <c r="T87" s="936"/>
      <c r="U87" s="936"/>
      <c r="V87" s="936"/>
      <c r="W87" s="936"/>
      <c r="X87" s="936"/>
      <c r="Y87" s="936"/>
      <c r="Z87" s="936"/>
      <c r="AA87" s="379"/>
      <c r="AB87" s="379"/>
      <c r="AC87" s="379" t="s">
        <v>441</v>
      </c>
      <c r="AD87" s="489"/>
      <c r="AE87" s="281"/>
      <c r="AF87" s="379" t="s">
        <v>442</v>
      </c>
      <c r="AG87" s="489"/>
      <c r="AH87" s="379"/>
      <c r="AI87" s="379" t="s">
        <v>440</v>
      </c>
      <c r="AJ87" s="489"/>
      <c r="AK87" s="444"/>
      <c r="AL87" s="344"/>
      <c r="AM87" s="322"/>
      <c r="AN87" s="322"/>
    </row>
    <row r="88" spans="2:40" s="185" customFormat="1" ht="19.5" customHeight="1" hidden="1">
      <c r="B88" s="75"/>
      <c r="C88" s="79"/>
      <c r="D88" s="443"/>
      <c r="E88" s="443"/>
      <c r="F88" s="432" t="s">
        <v>117</v>
      </c>
      <c r="G88" s="882"/>
      <c r="H88" s="882"/>
      <c r="I88" s="882"/>
      <c r="J88" s="882"/>
      <c r="K88" s="882"/>
      <c r="L88" s="882"/>
      <c r="M88" s="882"/>
      <c r="N88" s="882"/>
      <c r="O88" s="882"/>
      <c r="P88" s="882"/>
      <c r="Q88" s="882"/>
      <c r="R88" s="882"/>
      <c r="S88" s="882"/>
      <c r="T88" s="882"/>
      <c r="U88" s="882"/>
      <c r="V88" s="882"/>
      <c r="W88" s="882"/>
      <c r="X88" s="882"/>
      <c r="Y88" s="882"/>
      <c r="Z88" s="882"/>
      <c r="AA88" s="882"/>
      <c r="AB88" s="882"/>
      <c r="AC88" s="882"/>
      <c r="AD88" s="882"/>
      <c r="AE88" s="882"/>
      <c r="AF88" s="882"/>
      <c r="AG88" s="882"/>
      <c r="AH88" s="882"/>
      <c r="AI88" s="882"/>
      <c r="AJ88" s="882"/>
      <c r="AK88" s="444"/>
      <c r="AL88" s="12"/>
      <c r="AM88" s="8"/>
      <c r="AN88" s="8"/>
    </row>
    <row r="89" spans="1:40" s="51" customFormat="1" ht="2.25" customHeight="1" hidden="1">
      <c r="A89" s="286">
        <v>1</v>
      </c>
      <c r="B89" s="468"/>
      <c r="C89" s="457"/>
      <c r="D89" s="457"/>
      <c r="E89" s="457"/>
      <c r="F89" s="457"/>
      <c r="G89" s="457"/>
      <c r="H89" s="457"/>
      <c r="I89" s="457"/>
      <c r="J89" s="457"/>
      <c r="K89" s="457"/>
      <c r="L89" s="457"/>
      <c r="M89" s="457"/>
      <c r="N89" s="457"/>
      <c r="O89" s="457"/>
      <c r="P89" s="457"/>
      <c r="Q89" s="457"/>
      <c r="R89" s="457"/>
      <c r="S89" s="457"/>
      <c r="T89" s="457"/>
      <c r="U89" s="457"/>
      <c r="V89" s="457"/>
      <c r="W89" s="457"/>
      <c r="X89" s="457"/>
      <c r="Y89" s="457"/>
      <c r="Z89" s="457"/>
      <c r="AA89" s="457"/>
      <c r="AB89" s="469"/>
      <c r="AC89" s="470"/>
      <c r="AD89" s="457"/>
      <c r="AE89" s="457"/>
      <c r="AF89" s="457"/>
      <c r="AG89" s="461"/>
      <c r="AH89" s="457"/>
      <c r="AI89" s="457"/>
      <c r="AJ89" s="457"/>
      <c r="AK89" s="462"/>
      <c r="AL89" s="7"/>
      <c r="AM89" s="2"/>
      <c r="AN89" s="2"/>
    </row>
    <row r="90" spans="3:38" ht="12" customHeight="1">
      <c r="C90" s="226"/>
      <c r="D90" s="226"/>
      <c r="E90" s="226"/>
      <c r="F90" s="226"/>
      <c r="G90" s="226"/>
      <c r="H90" s="228"/>
      <c r="I90" s="226"/>
      <c r="J90" s="226"/>
      <c r="K90" s="226"/>
      <c r="L90" s="226"/>
      <c r="M90" s="226"/>
      <c r="S90" s="229"/>
      <c r="AI90" s="40"/>
      <c r="AL90" s="23"/>
    </row>
    <row r="91" spans="3:38" ht="12" customHeight="1">
      <c r="C91" s="226"/>
      <c r="D91" s="226"/>
      <c r="E91" s="226"/>
      <c r="F91" s="226"/>
      <c r="G91" s="226"/>
      <c r="H91" s="228"/>
      <c r="I91" s="226"/>
      <c r="J91" s="226"/>
      <c r="K91" s="226"/>
      <c r="L91" s="226"/>
      <c r="M91" s="226"/>
      <c r="S91" s="225"/>
      <c r="W91" s="225"/>
      <c r="AG91" s="40"/>
      <c r="AL91" s="23"/>
    </row>
    <row r="92" spans="3:45" ht="12" customHeight="1">
      <c r="C92" s="226"/>
      <c r="D92" s="226"/>
      <c r="E92" s="226"/>
      <c r="F92" s="226"/>
      <c r="G92" s="226"/>
      <c r="H92" s="228"/>
      <c r="I92" s="226"/>
      <c r="J92" s="226"/>
      <c r="K92" s="226"/>
      <c r="L92" s="226"/>
      <c r="M92" s="226"/>
      <c r="S92" s="229"/>
      <c r="U92" s="229"/>
      <c r="W92" s="229"/>
      <c r="AG92" s="40"/>
      <c r="AL92" s="23"/>
      <c r="AR92" s="712"/>
      <c r="AS92" s="713"/>
    </row>
    <row r="93" spans="3:45" ht="12" customHeight="1">
      <c r="C93" s="226"/>
      <c r="D93" s="226"/>
      <c r="E93" s="226"/>
      <c r="F93" s="226"/>
      <c r="G93" s="226"/>
      <c r="H93" s="228"/>
      <c r="I93" s="226"/>
      <c r="J93" s="226"/>
      <c r="K93" s="226"/>
      <c r="L93" s="226"/>
      <c r="M93" s="226"/>
      <c r="S93" s="229"/>
      <c r="U93" s="229"/>
      <c r="W93" s="229"/>
      <c r="AB93" s="225"/>
      <c r="AG93" s="40"/>
      <c r="AL93" s="23"/>
      <c r="AS93" s="713"/>
    </row>
    <row r="94" spans="3:38" ht="12" customHeight="1">
      <c r="C94" s="226"/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S94" s="229"/>
      <c r="U94" s="229"/>
      <c r="W94" s="229"/>
      <c r="AB94" s="227"/>
      <c r="AG94" s="40"/>
      <c r="AL94" s="23"/>
    </row>
    <row r="95" spans="38:45" ht="12" customHeight="1">
      <c r="AL95" s="23"/>
      <c r="AM95" s="40"/>
      <c r="AQ95" s="714"/>
      <c r="AR95" s="714"/>
      <c r="AS95" s="714"/>
    </row>
  </sheetData>
  <sheetProtection password="CC3D" sheet="1" objects="1" scenarios="1"/>
  <mergeCells count="123">
    <mergeCell ref="AG33:AH33"/>
    <mergeCell ref="AG47:AH47"/>
    <mergeCell ref="AG61:AH61"/>
    <mergeCell ref="AG81:AH81"/>
    <mergeCell ref="AG76:AI76"/>
    <mergeCell ref="AD36:AJ36"/>
    <mergeCell ref="G40:AJ40"/>
    <mergeCell ref="AB44:AJ44"/>
    <mergeCell ref="AI70:AJ70"/>
    <mergeCell ref="AF70:AH70"/>
    <mergeCell ref="G88:AJ88"/>
    <mergeCell ref="G86:N86"/>
    <mergeCell ref="S86:Z86"/>
    <mergeCell ref="AD86:AJ86"/>
    <mergeCell ref="G87:N87"/>
    <mergeCell ref="S87:Z87"/>
    <mergeCell ref="H83:I83"/>
    <mergeCell ref="S84:Z84"/>
    <mergeCell ref="AD84:AJ84"/>
    <mergeCell ref="G85:N85"/>
    <mergeCell ref="S85:Z85"/>
    <mergeCell ref="AD85:AJ85"/>
    <mergeCell ref="K80:O80"/>
    <mergeCell ref="X80:AJ80"/>
    <mergeCell ref="X81:AB81"/>
    <mergeCell ref="H82:I82"/>
    <mergeCell ref="AD73:AE73"/>
    <mergeCell ref="M73:N73"/>
    <mergeCell ref="G73:H73"/>
    <mergeCell ref="G74:AJ74"/>
    <mergeCell ref="S73:W73"/>
    <mergeCell ref="F78:X78"/>
    <mergeCell ref="AB78:AJ78"/>
    <mergeCell ref="L79:O79"/>
    <mergeCell ref="T8:Z8"/>
    <mergeCell ref="X32:AJ32"/>
    <mergeCell ref="X46:AJ46"/>
    <mergeCell ref="S51:Z51"/>
    <mergeCell ref="AD51:AJ51"/>
    <mergeCell ref="AG42:AI42"/>
    <mergeCell ref="S36:Z36"/>
    <mergeCell ref="S65:Z65"/>
    <mergeCell ref="AD64:AJ64"/>
    <mergeCell ref="AD65:AJ65"/>
    <mergeCell ref="G68:AJ68"/>
    <mergeCell ref="G66:N66"/>
    <mergeCell ref="AD66:AJ66"/>
    <mergeCell ref="S67:Z67"/>
    <mergeCell ref="S66:Z66"/>
    <mergeCell ref="G67:N67"/>
    <mergeCell ref="Y25:AA25"/>
    <mergeCell ref="S50:Z50"/>
    <mergeCell ref="S38:Z38"/>
    <mergeCell ref="S64:Z64"/>
    <mergeCell ref="S53:Z53"/>
    <mergeCell ref="S39:Z39"/>
    <mergeCell ref="F44:X44"/>
    <mergeCell ref="G25:I25"/>
    <mergeCell ref="X60:AJ60"/>
    <mergeCell ref="AG28:AI28"/>
    <mergeCell ref="S20:Z20"/>
    <mergeCell ref="AD22:AJ22"/>
    <mergeCell ref="G72:N72"/>
    <mergeCell ref="S72:W72"/>
    <mergeCell ref="G65:N65"/>
    <mergeCell ref="L25:N25"/>
    <mergeCell ref="G53:N53"/>
    <mergeCell ref="G38:N38"/>
    <mergeCell ref="G39:N39"/>
    <mergeCell ref="K60:O60"/>
    <mergeCell ref="G21:N21"/>
    <mergeCell ref="G23:N23"/>
    <mergeCell ref="G24:N24"/>
    <mergeCell ref="AD23:AJ23"/>
    <mergeCell ref="G22:N22"/>
    <mergeCell ref="AD21:AJ21"/>
    <mergeCell ref="S22:Z22"/>
    <mergeCell ref="V25:X25"/>
    <mergeCell ref="S25:U25"/>
    <mergeCell ref="AD37:AJ37"/>
    <mergeCell ref="J25:K25"/>
    <mergeCell ref="K32:O32"/>
    <mergeCell ref="F30:X30"/>
    <mergeCell ref="L31:O31"/>
    <mergeCell ref="G26:AJ26"/>
    <mergeCell ref="AD25:AJ25"/>
    <mergeCell ref="AB30:AJ30"/>
    <mergeCell ref="I8:M8"/>
    <mergeCell ref="G9:AJ9"/>
    <mergeCell ref="F13:X13"/>
    <mergeCell ref="AB13:AJ13"/>
    <mergeCell ref="K15:O15"/>
    <mergeCell ref="U14:X14"/>
    <mergeCell ref="AD24:AJ24"/>
    <mergeCell ref="S21:Z21"/>
    <mergeCell ref="AD20:AJ20"/>
    <mergeCell ref="AG16:AJ16"/>
    <mergeCell ref="AG17:AH17"/>
    <mergeCell ref="L14:O14"/>
    <mergeCell ref="S23:Z23"/>
    <mergeCell ref="S24:Z24"/>
    <mergeCell ref="AF1:AK1"/>
    <mergeCell ref="AF14:AJ14"/>
    <mergeCell ref="AG2:AJ2"/>
    <mergeCell ref="AG11:AI11"/>
    <mergeCell ref="AD7:AJ7"/>
    <mergeCell ref="AG8:AI8"/>
    <mergeCell ref="AB14:AD14"/>
    <mergeCell ref="AD38:AJ38"/>
    <mergeCell ref="F58:X58"/>
    <mergeCell ref="S37:Z37"/>
    <mergeCell ref="AD50:AJ50"/>
    <mergeCell ref="G51:N51"/>
    <mergeCell ref="AG56:AI56"/>
    <mergeCell ref="S52:Z52"/>
    <mergeCell ref="G54:AJ54"/>
    <mergeCell ref="G52:N52"/>
    <mergeCell ref="G37:N37"/>
    <mergeCell ref="L45:O45"/>
    <mergeCell ref="AB58:AJ58"/>
    <mergeCell ref="K46:O46"/>
    <mergeCell ref="L59:O59"/>
    <mergeCell ref="AD52:AJ52"/>
  </mergeCells>
  <conditionalFormatting sqref="I18 I34 I48 I62">
    <cfRule type="expression" priority="1" dxfId="6" stopIfTrue="1">
      <formula>J17=0</formula>
    </cfRule>
  </conditionalFormatting>
  <conditionalFormatting sqref="I19 I35 I49 I63">
    <cfRule type="expression" priority="2" dxfId="6" stopIfTrue="1">
      <formula>J17=0</formula>
    </cfRule>
  </conditionalFormatting>
  <conditionalFormatting sqref="AG8:AI8 AD7:AJ7 AD6 AJ6 Y6:Y7 S6:S7 M6:M7 AJ79 V79 F79 J81 R81">
    <cfRule type="cellIs" priority="3" dxfId="7" operator="equal" stopIfTrue="1">
      <formula>0</formula>
    </cfRule>
  </conditionalFormatting>
  <conditionalFormatting sqref="AF59 AF45 AF31 T8 AF5 AC73:AE73 L73:N73 G73:H73 S72:W73 G72:N72 K46:O46 AC72 K32:O32 K15:O15 AA14:AJ14 G65:N67 G37:N39 S50:Z53 AB44:AJ44 S36:Z39 F44:X44 AD36:AJ38 AD20:AJ25 G21:N25 Y25:AA25 AD50:AJ52 S20:X25 F13:X13 Y20:Z24 L31:O31 AB30:AJ30 R6 L6 R16 AD16 K16 W16 AG16:AJ16 F16 L14:O14 N16 AB13:AJ13 U14:X14 AA16 F30:X30 X32:AJ32 G51:N53 S64:Z67 AB58:AJ58 L45:O45 F58:X58 AD64:AJ66 X46:AJ46 X60:AJ60 K60:O60 L59:O59 X6:X7 X5:Y5 G5 S5 K5 AB5 O5:P5 AF79 K80:O80 G85:N87 S84:Z87 L79:O79 F78:X78 X81:AB81 X80:AJ80 AB78:AJ78 AD84:AJ86">
    <cfRule type="cellIs" priority="4" dxfId="1" operator="equal" stopIfTrue="1">
      <formula>0</formula>
    </cfRule>
  </conditionalFormatting>
  <conditionalFormatting sqref="AG39 AJ39 AD39 AG53 AJ53 AD53 AG67 AJ67 AD67 AD87 AG87 AJ87">
    <cfRule type="cellIs" priority="5" dxfId="8" operator="equal" stopIfTrue="1">
      <formula>0</formula>
    </cfRule>
  </conditionalFormatting>
  <conditionalFormatting sqref="P76 AG76:AI76">
    <cfRule type="cellIs" priority="6" dxfId="9" operator="equal" stopIfTrue="1">
      <formula>0</formula>
    </cfRule>
  </conditionalFormatting>
  <conditionalFormatting sqref="AF15">
    <cfRule type="cellIs" priority="7" dxfId="1" operator="equal" stopIfTrue="1">
      <formula>0</formula>
    </cfRule>
    <cfRule type="cellIs" priority="8" dxfId="2" operator="equal" stopIfTrue="1">
      <formula>"NO"</formula>
    </cfRule>
  </conditionalFormatting>
  <conditionalFormatting sqref="I8:M8 T14">
    <cfRule type="cellIs" priority="9" dxfId="0" operator="equal" stopIfTrue="1">
      <formula>0</formula>
    </cfRule>
  </conditionalFormatting>
  <dataValidations count="45">
    <dataValidation type="list" allowBlank="1" sqref="AB14 U14 T45 T31 T59 T79">
      <formula1>"BUENA,REGULAR,DEFICIENTE,MALA"</formula1>
    </dataValidation>
    <dataValidation type="whole" allowBlank="1" showErrorMessage="1" errorTitle="Calidad" error="El valor debe estar entre 1 y 5" sqref="AJ36 Z36 AF36 AJ20 Z20 AF20 AJ50 Z50 AF50 AJ64 Z64 AF64 Z84 AJ84 AF84">
      <formula1>1</formula1>
      <formula2>5</formula2>
    </dataValidation>
    <dataValidation type="list" allowBlank="1" sqref="I8">
      <formula1>"MALO,DEFICIENTE,REGULAR,SATISFACTORIO,BUENO,NUEVO - S/USO"</formula1>
    </dataValidation>
    <dataValidation type="list" allowBlank="1" sqref="K60:N60 K46:N46 K32:N32 K15:N15 K80:N80">
      <formula1>"MALO,DEFICIENTE,REGULAR,SATISFACTORIO,BUENO"</formula1>
    </dataValidation>
    <dataValidation type="list" sqref="L73 AG39 AJ39 AD39 AG53 AJ53 AD53 AG67 AJ67 AD67 AD87 AG87 AJ87">
      <formula1>"SI,NO"</formula1>
    </dataValidation>
    <dataValidation type="list" allowBlank="1" sqref="AD24:AJ24">
      <formula1>"A RED,POZO/FOSA,POZO NEGRO"</formula1>
    </dataValidation>
    <dataValidation type="whole" allowBlank="1" showInputMessage="1" promptTitle="Cantidad" prompt=" " sqref="AC72:AC73">
      <formula1>0</formula1>
      <formula2>10</formula2>
    </dataValidation>
    <dataValidation type="list" allowBlank="1" showInputMessage="1" promptTitle="Filtro" prompt=" " sqref="M73">
      <formula1>"c/filtro,s/filtro"</formula1>
    </dataValidation>
    <dataValidation type="list" allowBlank="1" sqref="L31:O31 L14:O14 L45:O45 L59:O59 L79:O79">
      <formula1>"AISLADA,ADOSADA 1L,ADOSADA 2L,ADOSADA 3L,PAREADA,CONTINUA"</formula1>
    </dataValidation>
    <dataValidation type="list" allowBlank="1" sqref="AD25">
      <formula1>"DE RED,LICUADO / ESTANQUE,LICUADO / BALONES"</formula1>
    </dataValidation>
    <dataValidation allowBlank="1" showInputMessage="1" showErrorMessage="1" promptTitle="Cantidad Recintos" prompt="Indique el Número de recintos de este tipo" sqref="R16 W16 F16 AD16 K16 N16 AA16"/>
    <dataValidation allowBlank="1" showInputMessage="1" showErrorMessage="1" prompt="Ingrese el Número de Casas del Conjunto" sqref="G5"/>
    <dataValidation allowBlank="1" showInputMessage="1" showErrorMessage="1" prompt="Ingrese el Número de Deptos. del Conjunto" sqref="K5"/>
    <dataValidation allowBlank="1" showInputMessage="1" showErrorMessage="1" prompt="Ingrese el Número de Locales del Conjunto" sqref="O5"/>
    <dataValidation allowBlank="1" showInputMessage="1" showErrorMessage="1" prompt="Ingrese el Número de Estacionamientos del Conjunto" sqref="S5"/>
    <dataValidation allowBlank="1" showInputMessage="1" showErrorMessage="1" prompt="Ingrese el Número de Oficinas del conjunto" sqref="X5"/>
    <dataValidation allowBlank="1" showInputMessage="1" showErrorMessage="1" prompt="Ingrese el Número de Bodegas del conjunto" sqref="AB5"/>
    <dataValidation allowBlank="1" showInputMessage="1" showErrorMessage="1" prompt="Ingrese el Número de Lotes del conjunto" sqref="AF5"/>
    <dataValidation type="list" allowBlank="1" showInputMessage="1" showErrorMessage="1" sqref="T8">
      <formula1>"NO HAY,SOLO RESIDENTES,RESIDENTES Y VISITAS"</formula1>
    </dataValidation>
    <dataValidation allowBlank="1" showInputMessage="1" promptTitle="Superficie" prompt=" " sqref="G73:H73"/>
    <dataValidation type="list" allowBlank="1" showInputMessage="1" showErrorMessage="1" sqref="AF59 AF45 AF31 AF15 W28 S6:S7 Y6:Y7 W56 AD6 W11 AJ6 W42 M6:M7 AF79 W76">
      <formula1>"SI,NO"</formula1>
    </dataValidation>
    <dataValidation allowBlank="1" showInputMessage="1" promptTitle="Hoja de largo ilimitado" prompt="Puede agregar más edificaciones presionando el botón ubicado en la parte inferior dela hoja. También puede eliminar la descripción de Bienes Comunes.&#10; &#10;Use la tecla de TABULACION para desplazarse en el Formulario" sqref="A1"/>
    <dataValidation allowBlank="1" showInputMessage="1" showErrorMessage="1" promptTitle="Cantidad y Tipo Recintos" prompt="Indique el Número de recintos" sqref="AG16:AJ16"/>
    <dataValidation type="list" allowBlank="1" showInputMessage="1" sqref="AF14:AJ14 AG59:AH59 AG31:AH31 AG45:AH45 AG79:AH79">
      <formula1>"VÍAS CIRCULACIÓN,CONSTR. VECINAS,PAISAJE,PATIO INTERIOR"</formula1>
    </dataValidation>
    <dataValidation type="list" allowBlank="1" showInputMessage="1" prompt="Orientación" sqref="T14 S31">
      <formula1>"N,NO,NP,O,P,S,SO,SP"</formula1>
    </dataValidation>
    <dataValidation type="list" allowBlank="1" showInputMessage="1" showErrorMessage="1" promptTitle="Condición Especial Edificación" prompt="Indíquelo sólo si corresponde&#10;" errorTitle="Condición Especial Construcción" error=" " sqref="Z15:AB15 Z59:AB59 Z45:AB45">
      <formula1>"AL-ALTILLO,SB-SUBTERRANEO,MS-MANSARDA,PZ-PISO ZOCALO,CA-CONST.ABIERTA,SV-SIN VALOR"</formula1>
    </dataValidation>
    <dataValidation type="list" allowBlank="1" showInputMessage="1" showErrorMessage="1" promptTitle="Ubicación" prompt=" " sqref="AD73:AE73">
      <formula1>"1 P,PZ,SB"</formula1>
    </dataValidation>
    <dataValidation type="list" allowBlank="1" sqref="S25:U25">
      <formula1>"Red,Generador"</formula1>
    </dataValidation>
    <dataValidation type="list" allowBlank="1" sqref="G25:I25">
      <formula1>"Red,Pozo,Estanque"</formula1>
    </dataValidation>
    <dataValidation type="list" allowBlank="1" showInputMessage="1" showErrorMessage="1" sqref="J25:K25">
      <formula1>"Fría,F/C"</formula1>
    </dataValidation>
    <dataValidation type="list" allowBlank="1" showInputMessage="1" showErrorMessage="1" sqref="L25:N25 V25:X25">
      <formula1>"Embutida,A la vista"</formula1>
    </dataValidation>
    <dataValidation type="list" allowBlank="1" showInputMessage="1" sqref="Y25">
      <formula1>"Monofásica,Trifásica"</formula1>
    </dataValidation>
    <dataValidation allowBlank="1" showInputMessage="1" promptTitle="Observaciones" prompt="Flexibilidad para usos alternativos, grado de obsolescencia, características particulares, etc." sqref="G40:AJ40 G26:AJ26 G54:AJ54 G68:AJ68 G88:AJ88"/>
    <dataValidation type="list" allowBlank="1" showInputMessage="1" showErrorMessage="1" promptTitle="Condición Especial Edificación" prompt="CA  Construcción abierta&#10;MS  Mansarda&#10;PZ   Piso zócalo&#10;SB   Subterráneo&#10;SC   Sin condición" errorTitle="Condición Especial Construcción" error="Código Erróneo&#10;&#10;Vea los códigos válidos en la hoja &quot;Datos&quot;" sqref="V79">
      <formula1>"CA,MS,PZ,SB,SC"</formula1>
    </dataValidation>
    <dataValidation type="list" allowBlank="1" showInputMessage="1" showErrorMessage="1" promptTitle="Clase Estructural" prompt=" " errorTitle="Clase de Edificación" error="Código Erróneo&#10;&#10;Vea los códigos válidos en la hoja &quot;Datos&quot;" sqref="J81">
      <formula1>"A,B,C,Ca,D,E,Ea,F,G,H,I,OC,OT"</formula1>
    </dataValidation>
    <dataValidation type="whole" allowBlank="1" showInputMessage="1" showErrorMessage="1" promptTitle="Calidad Edificación" prompt="1  SUPERIOR&#10;2  BUENA&#10;3  CORRIENTE&#10;4  REGULAR&#10;5  INFERIOR&#10;6  DEFICIENTE" errorTitle="Calidad Edificación" error="Valor debe estar entre 1 y 5" sqref="R81">
      <formula1>1</formula1>
      <formula2>6</formula2>
    </dataValidation>
    <dataValidation type="list" allowBlank="1" showErrorMessage="1" errorTitle="Estado de Conservación" error="Código Erróneo&#10;&#10;Vea los códigos válidos en la hoja &quot;Datos&quot;" sqref="X81:AB81">
      <formula1>"NUEVO - S/USO,BUENO,SATISFACTORIO,DEFICIENTE,MALO,EN CONSTRUC.,INCONCLUSO"</formula1>
    </dataValidation>
    <dataValidation type="decimal" allowBlank="1" showInputMessage="1" showErrorMessage="1" promptTitle="Factor Alteración Terminaciones" prompt="1,00  Sin Remozamiento ni Deterioro&#10;0,75  Poco Remozamiento&#10;0,50  Mediano Remozamiento&#10;0,25  Mucho Remozamiento&#10;  0     Total Remozamiento&#10;1,25  Poco Deterioro&#10;1,50  Mediano Deterioro&#10;1,75  Mucho Deterioro&#10;2,00  Total Deterioro&#10;" errorTitle="Factor Alteración Terminaciones" error="Valor entre 0 y 2" sqref="H82">
      <formula1>0</formula1>
      <formula2>2</formula2>
    </dataValidation>
    <dataValidation type="decimal" allowBlank="1" showInputMessage="1" showErrorMessage="1" promptTitle="Factor Alteración Instalaciones" prompt="1,00  Sin Remozamiento ni Deterioro&#10;0,75  Poco Remozamiento&#10;0,50  Mediano Remozamiento&#10;0,25  Mucho Remozamiento&#10;  0     Total Remozamiento&#10;1,25  Poco Deterioro&#10;1,50  Mediano Deterioro&#10;1,75  Mucho Deterioro&#10;2,00  Total Deterioro&#10;" errorTitle="Factor Alteración Instalaciones" error="Valor entre 0 y 2" sqref="H83:I83">
      <formula1>0</formula1>
      <formula2>2</formula2>
    </dataValidation>
    <dataValidation type="list" allowBlank="1" showInputMessage="1" showErrorMessage="1" promptTitle="Obras Complementarias" prompt="Indique la Incidencia en la Propiedad" sqref="AO68">
      <formula1>"Promedio,Mínima,Máxima"</formula1>
    </dataValidation>
    <dataValidation type="list" allowBlank="1" showInputMessage="1" showErrorMessage="1" promptTitle="Prorrateo Terreno en Edificios" prompt="M2 Terreno proporciona por M2 Neto construido&#10;&#10;Indique lo que corresponda " sqref="AG8:AI8">
      <formula1>"No,Promedio,Mínimo,Máximo"</formula1>
    </dataValidation>
    <dataValidation allowBlank="1" showInputMessage="1" showErrorMessage="1" promptTitle="VUBE Depreciado" prompt="UF/m2 depreciado según estado y edad, para Inmuebles Típicos" sqref="AJ17 AJ33 AJ47 AJ61 AJ81"/>
    <dataValidation allowBlank="1" showInputMessage="1" showErrorMessage="1" promptTitle="Margen de Variación VUBE" prompt="El Valor Unitario de la Edificación a tasar puede variar en esta cifra (sólo para Inmuebles Típicos)" sqref="AJ18 AJ34 AJ48 AJ62 AJ82"/>
    <dataValidation allowBlank="1" showInputMessage="1" showErrorMessage="1" promptTitle="Valor según Tablas" prompt="Valor Unitario Base de Edificación (UF/m2) para Inmuebles Típicos" sqref="AG17:AH17 AG33:AH33 AG47 AG61 AG81:AH81"/>
    <dataValidation type="decimal" allowBlank="1" showInputMessage="1" showErrorMessage="1" promptTitle="VUBE según Tasador" prompt="Valor propuesto por Tasador.&#10;Para Inmuebles Típicos debe estar en el rango de valores determinado por el VUBE según Tablas +- Margen.&#10;Para Inmuebles Atípicos este valor lo determina el Tasador." errorTitle="VUBE según Tasador" error="Inmueble Típico&#10;Valor debe estar en el rango:&#10;VUBE según Tablas - Margen como mínimo y&#10;VUBE según Tablas + Margen como máximo" sqref="AJ19 AJ35 AJ49 AJ63 AJ83">
      <formula1>IF($AU$13=0,AJ17-AJ18,0)</formula1>
      <formula2>IF($AU$13=0,(AJ17+AJ18)*AW16,1000)</formula2>
    </dataValidation>
  </dataValidations>
  <printOptions horizontalCentered="1"/>
  <pageMargins left="0.75" right="0.75" top="0.35433070866141736" bottom="1.5748031496062993" header="0" footer="1.3779527559055118"/>
  <pageSetup horizontalDpi="720" verticalDpi="720" orientation="portrait" paperSize="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T122"/>
  <sheetViews>
    <sheetView showGridLines="0" showZeros="0" workbookViewId="0" topLeftCell="A1">
      <selection activeCell="A1" sqref="A1"/>
    </sheetView>
  </sheetViews>
  <sheetFormatPr defaultColWidth="11.421875" defaultRowHeight="12.75"/>
  <cols>
    <col min="1" max="1" width="0.5625" style="283" customWidth="1"/>
    <col min="2" max="2" width="11.57421875" style="283" customWidth="1"/>
    <col min="3" max="4" width="5.28125" style="283" customWidth="1"/>
    <col min="5" max="5" width="6.00390625" style="283" customWidth="1"/>
    <col min="6" max="6" width="4.8515625" style="283" customWidth="1"/>
    <col min="7" max="7" width="6.140625" style="283" customWidth="1"/>
    <col min="8" max="10" width="5.28125" style="283" customWidth="1"/>
    <col min="11" max="11" width="5.7109375" style="283" customWidth="1"/>
    <col min="12" max="13" width="5.28125" style="283" customWidth="1"/>
    <col min="14" max="14" width="5.57421875" style="283" customWidth="1"/>
    <col min="15" max="15" width="5.7109375" style="283" customWidth="1"/>
    <col min="16" max="17" width="5.28125" style="283" customWidth="1"/>
    <col min="18" max="18" width="5.00390625" style="283" customWidth="1"/>
    <col min="19" max="19" width="0.5625" style="283" customWidth="1"/>
    <col min="20" max="20" width="0.42578125" style="283" customWidth="1"/>
    <col min="21" max="16384" width="0" style="283" hidden="1" customWidth="1"/>
  </cols>
  <sheetData>
    <row r="1" spans="2:20" ht="24" customHeight="1">
      <c r="B1" s="769" t="s">
        <v>154</v>
      </c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961">
        <f>Tasación!Y1</f>
        <v>0</v>
      </c>
      <c r="Q1" s="961"/>
      <c r="R1" s="961"/>
      <c r="S1" s="771"/>
      <c r="T1" s="167"/>
    </row>
    <row r="2" ht="2.25" customHeight="1">
      <c r="S2" s="217"/>
    </row>
    <row r="3" spans="2:20" s="49" customFormat="1" ht="13.5" customHeight="1">
      <c r="B3" s="701" t="s">
        <v>152</v>
      </c>
      <c r="C3" s="632"/>
      <c r="D3" s="632"/>
      <c r="E3" s="702">
        <v>1</v>
      </c>
      <c r="F3" s="702" t="s">
        <v>172</v>
      </c>
      <c r="G3" s="964"/>
      <c r="H3" s="964"/>
      <c r="I3" s="795"/>
      <c r="J3" s="703" t="s">
        <v>151</v>
      </c>
      <c r="K3" s="964"/>
      <c r="L3" s="964"/>
      <c r="M3" s="964"/>
      <c r="N3" s="964"/>
      <c r="O3" s="795"/>
      <c r="P3" s="703" t="s">
        <v>10</v>
      </c>
      <c r="Q3" s="964"/>
      <c r="R3" s="964"/>
      <c r="S3" s="965"/>
      <c r="T3" s="796"/>
    </row>
    <row r="4" spans="2:20" s="360" customFormat="1" ht="11.25" customHeight="1">
      <c r="B4" s="366" t="s">
        <v>148</v>
      </c>
      <c r="C4" s="959"/>
      <c r="D4" s="959"/>
      <c r="E4" s="959"/>
      <c r="F4" s="959"/>
      <c r="G4" s="959"/>
      <c r="H4" s="367" t="s">
        <v>5</v>
      </c>
      <c r="I4" s="959"/>
      <c r="J4" s="959"/>
      <c r="K4" s="959"/>
      <c r="L4" s="959"/>
      <c r="M4" s="959"/>
      <c r="O4" s="367" t="s">
        <v>130</v>
      </c>
      <c r="P4" s="990"/>
      <c r="Q4" s="990"/>
      <c r="R4" s="990"/>
      <c r="S4" s="368"/>
      <c r="T4" s="369"/>
    </row>
    <row r="5" spans="2:20" s="360" customFormat="1" ht="11.25" customHeight="1">
      <c r="B5" s="370" t="s">
        <v>232</v>
      </c>
      <c r="C5" s="957"/>
      <c r="D5" s="957"/>
      <c r="E5" s="957"/>
      <c r="F5" s="957"/>
      <c r="H5" s="367" t="s">
        <v>120</v>
      </c>
      <c r="I5" s="971"/>
      <c r="J5" s="971"/>
      <c r="K5" s="971"/>
      <c r="L5" s="971"/>
      <c r="M5" s="971"/>
      <c r="O5" s="367" t="s">
        <v>149</v>
      </c>
      <c r="P5" s="957"/>
      <c r="Q5" s="958"/>
      <c r="R5" s="958"/>
      <c r="S5" s="371"/>
      <c r="T5" s="348"/>
    </row>
    <row r="6" spans="2:20" s="344" customFormat="1" ht="11.25" customHeight="1">
      <c r="B6" s="721"/>
      <c r="C6" s="670"/>
      <c r="D6" s="323" t="s">
        <v>488</v>
      </c>
      <c r="E6" s="719"/>
      <c r="F6" s="670"/>
      <c r="H6" s="345" t="s">
        <v>489</v>
      </c>
      <c r="I6" s="719"/>
      <c r="J6" s="722"/>
      <c r="K6" s="722"/>
      <c r="L6" s="323" t="s">
        <v>490</v>
      </c>
      <c r="M6" s="719"/>
      <c r="O6" s="323" t="s">
        <v>491</v>
      </c>
      <c r="P6" s="960"/>
      <c r="Q6" s="960"/>
      <c r="R6" s="960"/>
      <c r="S6" s="322"/>
      <c r="T6" s="348"/>
    </row>
    <row r="7" spans="2:20" s="360" customFormat="1" ht="11.25" customHeight="1">
      <c r="B7" s="370" t="s">
        <v>233</v>
      </c>
      <c r="C7" s="970"/>
      <c r="D7" s="970"/>
      <c r="E7" s="372" t="s">
        <v>460</v>
      </c>
      <c r="F7" s="688">
        <f>IF(E11&gt;0,C7/E11,0)</f>
        <v>0</v>
      </c>
      <c r="G7" s="372" t="s">
        <v>461</v>
      </c>
      <c r="H7" s="688">
        <f>IF(O11&gt;0,C7/O11,0)</f>
        <v>0</v>
      </c>
      <c r="I7" s="367"/>
      <c r="J7" s="367" t="s">
        <v>150</v>
      </c>
      <c r="K7" s="978"/>
      <c r="L7" s="978"/>
      <c r="M7" s="367"/>
      <c r="O7" s="367" t="s">
        <v>193</v>
      </c>
      <c r="P7" s="957"/>
      <c r="Q7" s="957"/>
      <c r="R7" s="957"/>
      <c r="S7" s="322"/>
      <c r="T7" s="348"/>
    </row>
    <row r="8" spans="2:20" s="40" customFormat="1" ht="2.25" customHeight="1">
      <c r="B8" s="256"/>
      <c r="C8" s="210"/>
      <c r="D8" s="210"/>
      <c r="E8" s="243"/>
      <c r="F8" s="57"/>
      <c r="G8" s="212"/>
      <c r="H8" s="210"/>
      <c r="I8" s="57"/>
      <c r="J8" s="243"/>
      <c r="K8" s="210"/>
      <c r="L8" s="243"/>
      <c r="M8" s="243"/>
      <c r="N8" s="243"/>
      <c r="O8" s="243"/>
      <c r="P8" s="210"/>
      <c r="Q8" s="210"/>
      <c r="R8" s="210"/>
      <c r="S8" s="209"/>
      <c r="T8" s="180"/>
    </row>
    <row r="9" spans="2:20" s="40" customFormat="1" ht="10.5" customHeight="1">
      <c r="B9" s="802" t="s">
        <v>190</v>
      </c>
      <c r="C9" s="803" t="s">
        <v>191</v>
      </c>
      <c r="D9" s="804"/>
      <c r="E9" s="247" t="s">
        <v>185</v>
      </c>
      <c r="F9" s="247"/>
      <c r="G9" s="248"/>
      <c r="H9" s="249"/>
      <c r="I9" s="235"/>
      <c r="J9" s="249"/>
      <c r="K9" s="251" t="s">
        <v>186</v>
      </c>
      <c r="L9" s="55"/>
      <c r="M9" s="55"/>
      <c r="N9" s="249"/>
      <c r="O9" s="235"/>
      <c r="P9" s="249"/>
      <c r="Q9" s="249"/>
      <c r="R9" s="235"/>
      <c r="S9" s="250"/>
      <c r="T9" s="180"/>
    </row>
    <row r="10" spans="2:20" s="806" customFormat="1" ht="10.5" customHeight="1">
      <c r="B10" s="807" t="s">
        <v>189</v>
      </c>
      <c r="C10" s="808" t="s">
        <v>195</v>
      </c>
      <c r="D10" s="809"/>
      <c r="E10" s="979" t="s">
        <v>234</v>
      </c>
      <c r="F10" s="980"/>
      <c r="G10" s="981" t="s">
        <v>181</v>
      </c>
      <c r="H10" s="982"/>
      <c r="I10" s="981" t="s">
        <v>366</v>
      </c>
      <c r="J10" s="983"/>
      <c r="K10" s="807" t="s">
        <v>19</v>
      </c>
      <c r="L10" s="810" t="s">
        <v>187</v>
      </c>
      <c r="M10" s="810" t="s">
        <v>21</v>
      </c>
      <c r="N10" s="810" t="s">
        <v>23</v>
      </c>
      <c r="O10" s="811" t="s">
        <v>234</v>
      </c>
      <c r="P10" s="812"/>
      <c r="Q10" s="810" t="s">
        <v>188</v>
      </c>
      <c r="R10" s="813" t="s">
        <v>52</v>
      </c>
      <c r="S10" s="805"/>
      <c r="T10" s="329"/>
    </row>
    <row r="11" spans="2:20" s="105" customFormat="1" ht="12" customHeight="1">
      <c r="B11" s="259"/>
      <c r="C11" s="976"/>
      <c r="D11" s="977"/>
      <c r="E11" s="984"/>
      <c r="F11" s="985"/>
      <c r="G11" s="986"/>
      <c r="H11" s="987"/>
      <c r="I11" s="988"/>
      <c r="J11" s="989"/>
      <c r="K11" s="259"/>
      <c r="L11" s="768"/>
      <c r="M11" s="768"/>
      <c r="N11" s="768"/>
      <c r="O11" s="962"/>
      <c r="P11" s="963"/>
      <c r="Q11" s="768"/>
      <c r="R11" s="684"/>
      <c r="S11" s="74"/>
      <c r="T11" s="253"/>
    </row>
    <row r="12" spans="2:20" s="206" customFormat="1" ht="2.25" customHeight="1">
      <c r="B12" s="204"/>
      <c r="C12" s="246"/>
      <c r="D12" s="205"/>
      <c r="E12" s="215"/>
      <c r="F12" s="245"/>
      <c r="G12" s="158"/>
      <c r="H12" s="158"/>
      <c r="I12" s="244"/>
      <c r="J12" s="205"/>
      <c r="K12" s="246"/>
      <c r="L12" s="252"/>
      <c r="M12" s="252"/>
      <c r="N12" s="252"/>
      <c r="O12" s="244"/>
      <c r="P12" s="245"/>
      <c r="Q12" s="252"/>
      <c r="R12" s="215"/>
      <c r="S12" s="205"/>
      <c r="T12" s="213"/>
    </row>
    <row r="13" spans="2:20" ht="12.75">
      <c r="B13" s="207" t="s">
        <v>167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9"/>
      <c r="T13" s="208"/>
    </row>
    <row r="14" spans="2:20" ht="10.5" customHeight="1">
      <c r="B14" s="125"/>
      <c r="C14" s="814" t="s">
        <v>97</v>
      </c>
      <c r="D14" s="815"/>
      <c r="E14" s="815"/>
      <c r="F14" s="815"/>
      <c r="G14" s="815"/>
      <c r="H14" s="814" t="s">
        <v>15</v>
      </c>
      <c r="I14" s="815"/>
      <c r="J14" s="815"/>
      <c r="K14" s="814" t="s">
        <v>102</v>
      </c>
      <c r="L14" s="815"/>
      <c r="M14" s="815"/>
      <c r="N14" s="814"/>
      <c r="O14" s="815"/>
      <c r="P14" s="815"/>
      <c r="Q14" s="816" t="s">
        <v>29</v>
      </c>
      <c r="R14" s="814" t="s">
        <v>173</v>
      </c>
      <c r="S14" s="218"/>
      <c r="T14" s="208"/>
    </row>
    <row r="15" spans="2:20" ht="48" customHeight="1">
      <c r="B15" s="312"/>
      <c r="C15" s="193" t="s">
        <v>71</v>
      </c>
      <c r="D15" s="194" t="s">
        <v>142</v>
      </c>
      <c r="E15" s="194" t="s">
        <v>143</v>
      </c>
      <c r="F15" s="194" t="s">
        <v>144</v>
      </c>
      <c r="G15" s="195" t="s">
        <v>98</v>
      </c>
      <c r="H15" s="193" t="s">
        <v>145</v>
      </c>
      <c r="I15" s="194" t="s">
        <v>166</v>
      </c>
      <c r="J15" s="195" t="s">
        <v>146</v>
      </c>
      <c r="K15" s="193" t="s">
        <v>118</v>
      </c>
      <c r="L15" s="194" t="s">
        <v>145</v>
      </c>
      <c r="M15" s="194" t="s">
        <v>266</v>
      </c>
      <c r="N15" s="194" t="s">
        <v>147</v>
      </c>
      <c r="O15" s="194" t="s">
        <v>99</v>
      </c>
      <c r="P15" s="195" t="s">
        <v>100</v>
      </c>
      <c r="Q15" s="282"/>
      <c r="R15" s="216"/>
      <c r="S15" s="219"/>
      <c r="T15" s="214"/>
    </row>
    <row r="16" spans="2:20" ht="12" customHeight="1">
      <c r="B16" s="800" t="s">
        <v>175</v>
      </c>
      <c r="C16" s="821"/>
      <c r="D16" s="822"/>
      <c r="E16" s="822"/>
      <c r="F16" s="822"/>
      <c r="G16" s="823"/>
      <c r="H16" s="821"/>
      <c r="I16" s="822"/>
      <c r="J16" s="823"/>
      <c r="K16" s="821"/>
      <c r="L16" s="822"/>
      <c r="M16" s="822"/>
      <c r="N16" s="822"/>
      <c r="O16" s="822"/>
      <c r="P16" s="823"/>
      <c r="Q16" s="824"/>
      <c r="R16" s="825"/>
      <c r="S16" s="220"/>
      <c r="T16" s="208"/>
    </row>
    <row r="17" spans="2:20" ht="12" customHeight="1">
      <c r="B17" s="800" t="s">
        <v>267</v>
      </c>
      <c r="C17" s="826"/>
      <c r="D17" s="827"/>
      <c r="E17" s="827"/>
      <c r="F17" s="827"/>
      <c r="G17" s="828"/>
      <c r="H17" s="826"/>
      <c r="I17" s="827"/>
      <c r="J17" s="828"/>
      <c r="K17" s="826"/>
      <c r="L17" s="827"/>
      <c r="M17" s="827"/>
      <c r="N17" s="827"/>
      <c r="O17" s="827"/>
      <c r="P17" s="828"/>
      <c r="Q17" s="829"/>
      <c r="R17" s="830">
        <f>SUM(B17:Q17)</f>
        <v>0</v>
      </c>
      <c r="S17" s="221"/>
      <c r="T17" s="208"/>
    </row>
    <row r="18" spans="2:20" ht="12" customHeight="1">
      <c r="B18" s="800" t="s">
        <v>101</v>
      </c>
      <c r="C18" s="817">
        <f aca="true" t="shared" si="0" ref="C18:Q18">IF(C17&gt;0,0,IF(C16="Inferior",0.025,IF(C16="Superior",-0.025,0)))</f>
        <v>0</v>
      </c>
      <c r="D18" s="818">
        <f t="shared" si="0"/>
        <v>0</v>
      </c>
      <c r="E18" s="818">
        <f t="shared" si="0"/>
        <v>0</v>
      </c>
      <c r="F18" s="818">
        <f t="shared" si="0"/>
        <v>0</v>
      </c>
      <c r="G18" s="831">
        <f t="shared" si="0"/>
        <v>0</v>
      </c>
      <c r="H18" s="817">
        <f t="shared" si="0"/>
        <v>0</v>
      </c>
      <c r="I18" s="818">
        <f t="shared" si="0"/>
        <v>0</v>
      </c>
      <c r="J18" s="831">
        <f t="shared" si="0"/>
        <v>0</v>
      </c>
      <c r="K18" s="817">
        <f t="shared" si="0"/>
        <v>0</v>
      </c>
      <c r="L18" s="818">
        <f t="shared" si="0"/>
        <v>0</v>
      </c>
      <c r="M18" s="818">
        <f t="shared" si="0"/>
        <v>0</v>
      </c>
      <c r="N18" s="818">
        <f t="shared" si="0"/>
        <v>0</v>
      </c>
      <c r="O18" s="818">
        <f t="shared" si="0"/>
        <v>0</v>
      </c>
      <c r="P18" s="831">
        <f t="shared" si="0"/>
        <v>0</v>
      </c>
      <c r="Q18" s="832">
        <f t="shared" si="0"/>
        <v>0</v>
      </c>
      <c r="R18" s="833"/>
      <c r="S18" s="222"/>
      <c r="T18" s="208"/>
    </row>
    <row r="19" spans="2:20" ht="12" customHeight="1">
      <c r="B19" s="800" t="s">
        <v>265</v>
      </c>
      <c r="C19" s="817">
        <f aca="true" t="shared" si="1" ref="C19:Q19">IF($C7=0,0,100%)</f>
        <v>0</v>
      </c>
      <c r="D19" s="818">
        <f t="shared" si="1"/>
        <v>0</v>
      </c>
      <c r="E19" s="818">
        <f t="shared" si="1"/>
        <v>0</v>
      </c>
      <c r="F19" s="818">
        <f t="shared" si="1"/>
        <v>0</v>
      </c>
      <c r="G19" s="831">
        <f t="shared" si="1"/>
        <v>0</v>
      </c>
      <c r="H19" s="817">
        <f t="shared" si="1"/>
        <v>0</v>
      </c>
      <c r="I19" s="818">
        <f t="shared" si="1"/>
        <v>0</v>
      </c>
      <c r="J19" s="831">
        <f t="shared" si="1"/>
        <v>0</v>
      </c>
      <c r="K19" s="817">
        <f t="shared" si="1"/>
        <v>0</v>
      </c>
      <c r="L19" s="818">
        <f t="shared" si="1"/>
        <v>0</v>
      </c>
      <c r="M19" s="818">
        <f t="shared" si="1"/>
        <v>0</v>
      </c>
      <c r="N19" s="818">
        <f t="shared" si="1"/>
        <v>0</v>
      </c>
      <c r="O19" s="818">
        <f t="shared" si="1"/>
        <v>0</v>
      </c>
      <c r="P19" s="831">
        <f t="shared" si="1"/>
        <v>0</v>
      </c>
      <c r="Q19" s="832">
        <f t="shared" si="1"/>
        <v>0</v>
      </c>
      <c r="R19" s="834">
        <f>PRODUCT(B19:Q19)</f>
        <v>0</v>
      </c>
      <c r="S19" s="222"/>
      <c r="T19" s="208"/>
    </row>
    <row r="20" spans="2:20" ht="12" customHeight="1">
      <c r="B20" s="801" t="s">
        <v>194</v>
      </c>
      <c r="C20" s="819">
        <f aca="true" t="shared" si="2" ref="C20:Q20">(1+C18)*C19</f>
        <v>0</v>
      </c>
      <c r="D20" s="820">
        <f t="shared" si="2"/>
        <v>0</v>
      </c>
      <c r="E20" s="820">
        <f t="shared" si="2"/>
        <v>0</v>
      </c>
      <c r="F20" s="820">
        <f t="shared" si="2"/>
        <v>0</v>
      </c>
      <c r="G20" s="835">
        <f t="shared" si="2"/>
        <v>0</v>
      </c>
      <c r="H20" s="819">
        <f t="shared" si="2"/>
        <v>0</v>
      </c>
      <c r="I20" s="820">
        <f t="shared" si="2"/>
        <v>0</v>
      </c>
      <c r="J20" s="835">
        <f t="shared" si="2"/>
        <v>0</v>
      </c>
      <c r="K20" s="819">
        <f t="shared" si="2"/>
        <v>0</v>
      </c>
      <c r="L20" s="820">
        <f t="shared" si="2"/>
        <v>0</v>
      </c>
      <c r="M20" s="820">
        <f t="shared" si="2"/>
        <v>0</v>
      </c>
      <c r="N20" s="820">
        <f t="shared" si="2"/>
        <v>0</v>
      </c>
      <c r="O20" s="820">
        <f t="shared" si="2"/>
        <v>0</v>
      </c>
      <c r="P20" s="835">
        <f t="shared" si="2"/>
        <v>0</v>
      </c>
      <c r="Q20" s="836">
        <f t="shared" si="2"/>
        <v>0</v>
      </c>
      <c r="R20" s="837">
        <f>IF(R19&gt;0,PRODUCT(B20:Q20)/R19,0)</f>
        <v>0</v>
      </c>
      <c r="S20" s="223"/>
      <c r="T20" s="208"/>
    </row>
    <row r="21" spans="2:20" ht="12.75" customHeight="1">
      <c r="B21" s="170" t="s">
        <v>192</v>
      </c>
      <c r="C21" s="911"/>
      <c r="D21" s="972"/>
      <c r="E21" s="972"/>
      <c r="F21" s="972"/>
      <c r="G21" s="972"/>
      <c r="H21" s="972"/>
      <c r="I21" s="972"/>
      <c r="J21" s="972"/>
      <c r="K21" s="972"/>
      <c r="L21" s="972"/>
      <c r="M21" s="973"/>
      <c r="N21" s="125"/>
      <c r="P21" s="362" t="s">
        <v>196</v>
      </c>
      <c r="Q21" s="966">
        <f>C7*R20+R17</f>
        <v>0</v>
      </c>
      <c r="R21" s="967"/>
      <c r="S21" s="217"/>
      <c r="T21" s="208"/>
    </row>
    <row r="22" spans="2:20" ht="12.75" customHeight="1">
      <c r="B22" s="171"/>
      <c r="C22" s="974"/>
      <c r="D22" s="974"/>
      <c r="E22" s="974"/>
      <c r="F22" s="974"/>
      <c r="G22" s="974"/>
      <c r="H22" s="974"/>
      <c r="I22" s="974"/>
      <c r="J22" s="974"/>
      <c r="K22" s="974"/>
      <c r="L22" s="974"/>
      <c r="M22" s="975"/>
      <c r="N22" s="211"/>
      <c r="O22" s="254"/>
      <c r="P22" s="373" t="s">
        <v>174</v>
      </c>
      <c r="Q22" s="968">
        <f>IF(OR(E11&gt;0,O11&gt;0),IF(O11&gt;0,Q21/O11,Q21/E11),0)</f>
        <v>0</v>
      </c>
      <c r="R22" s="969"/>
      <c r="S22" s="209"/>
      <c r="T22" s="208"/>
    </row>
    <row r="23" spans="2:20" s="49" customFormat="1" ht="13.5" customHeight="1">
      <c r="B23" s="701" t="s">
        <v>152</v>
      </c>
      <c r="C23" s="632"/>
      <c r="D23" s="632"/>
      <c r="E23" s="702">
        <f>E3+1</f>
        <v>2</v>
      </c>
      <c r="F23" s="702" t="s">
        <v>172</v>
      </c>
      <c r="G23" s="964"/>
      <c r="H23" s="964"/>
      <c r="I23" s="795"/>
      <c r="J23" s="703" t="s">
        <v>151</v>
      </c>
      <c r="K23" s="964"/>
      <c r="L23" s="964"/>
      <c r="M23" s="964"/>
      <c r="N23" s="964"/>
      <c r="O23" s="795"/>
      <c r="P23" s="703" t="s">
        <v>10</v>
      </c>
      <c r="Q23" s="964"/>
      <c r="R23" s="964"/>
      <c r="S23" s="965"/>
      <c r="T23" s="796"/>
    </row>
    <row r="24" spans="2:20" s="360" customFormat="1" ht="11.25" customHeight="1">
      <c r="B24" s="366" t="s">
        <v>148</v>
      </c>
      <c r="C24" s="959"/>
      <c r="D24" s="959"/>
      <c r="E24" s="959"/>
      <c r="F24" s="959"/>
      <c r="G24" s="959"/>
      <c r="H24" s="367" t="s">
        <v>5</v>
      </c>
      <c r="I24" s="959"/>
      <c r="J24" s="959"/>
      <c r="K24" s="959"/>
      <c r="L24" s="959"/>
      <c r="M24" s="959"/>
      <c r="O24" s="367" t="s">
        <v>130</v>
      </c>
      <c r="P24" s="990"/>
      <c r="Q24" s="990"/>
      <c r="R24" s="990"/>
      <c r="S24" s="368"/>
      <c r="T24" s="369"/>
    </row>
    <row r="25" spans="2:20" s="360" customFormat="1" ht="11.25" customHeight="1">
      <c r="B25" s="370" t="s">
        <v>232</v>
      </c>
      <c r="C25" s="957"/>
      <c r="D25" s="957"/>
      <c r="E25" s="957"/>
      <c r="F25" s="957"/>
      <c r="H25" s="367" t="s">
        <v>120</v>
      </c>
      <c r="I25" s="971"/>
      <c r="J25" s="971"/>
      <c r="K25" s="971"/>
      <c r="L25" s="971"/>
      <c r="M25" s="971"/>
      <c r="O25" s="367" t="s">
        <v>149</v>
      </c>
      <c r="P25" s="957"/>
      <c r="Q25" s="958"/>
      <c r="R25" s="958"/>
      <c r="S25" s="371"/>
      <c r="T25" s="348"/>
    </row>
    <row r="26" spans="2:20" s="344" customFormat="1" ht="11.25" customHeight="1">
      <c r="B26" s="721"/>
      <c r="C26" s="670"/>
      <c r="D26" s="323" t="s">
        <v>488</v>
      </c>
      <c r="E26" s="719"/>
      <c r="F26" s="670"/>
      <c r="H26" s="345" t="s">
        <v>489</v>
      </c>
      <c r="I26" s="719"/>
      <c r="J26" s="722"/>
      <c r="K26" s="722"/>
      <c r="L26" s="323" t="s">
        <v>490</v>
      </c>
      <c r="M26" s="719"/>
      <c r="O26" s="323" t="s">
        <v>491</v>
      </c>
      <c r="P26" s="960"/>
      <c r="Q26" s="960"/>
      <c r="R26" s="960"/>
      <c r="S26" s="322"/>
      <c r="T26" s="348"/>
    </row>
    <row r="27" spans="2:20" s="360" customFormat="1" ht="11.25" customHeight="1">
      <c r="B27" s="370" t="s">
        <v>233</v>
      </c>
      <c r="C27" s="970"/>
      <c r="D27" s="970"/>
      <c r="E27" s="372" t="s">
        <v>460</v>
      </c>
      <c r="F27" s="688">
        <f>IF(E31&gt;0,C27/E31,0)</f>
        <v>0</v>
      </c>
      <c r="G27" s="372" t="s">
        <v>461</v>
      </c>
      <c r="H27" s="688">
        <f>IF(O31&gt;0,C27/O31,0)</f>
        <v>0</v>
      </c>
      <c r="I27" s="367"/>
      <c r="J27" s="367" t="s">
        <v>150</v>
      </c>
      <c r="K27" s="978"/>
      <c r="L27" s="978"/>
      <c r="M27" s="367"/>
      <c r="O27" s="367" t="s">
        <v>193</v>
      </c>
      <c r="P27" s="957"/>
      <c r="Q27" s="957"/>
      <c r="R27" s="957"/>
      <c r="S27" s="322"/>
      <c r="T27" s="348"/>
    </row>
    <row r="28" spans="2:20" s="40" customFormat="1" ht="2.25" customHeight="1">
      <c r="B28" s="256"/>
      <c r="C28" s="210"/>
      <c r="D28" s="210"/>
      <c r="E28" s="243"/>
      <c r="F28" s="57"/>
      <c r="G28" s="212"/>
      <c r="H28" s="210"/>
      <c r="I28" s="57"/>
      <c r="J28" s="243"/>
      <c r="K28" s="210"/>
      <c r="L28" s="243"/>
      <c r="M28" s="243"/>
      <c r="N28" s="243"/>
      <c r="O28" s="243"/>
      <c r="P28" s="210"/>
      <c r="Q28" s="210"/>
      <c r="R28" s="210"/>
      <c r="S28" s="209"/>
      <c r="T28" s="180"/>
    </row>
    <row r="29" spans="2:20" s="40" customFormat="1" ht="10.5" customHeight="1">
      <c r="B29" s="802" t="s">
        <v>190</v>
      </c>
      <c r="C29" s="803" t="s">
        <v>191</v>
      </c>
      <c r="D29" s="804"/>
      <c r="E29" s="247" t="s">
        <v>185</v>
      </c>
      <c r="F29" s="247"/>
      <c r="G29" s="248"/>
      <c r="H29" s="249"/>
      <c r="I29" s="235"/>
      <c r="J29" s="249"/>
      <c r="K29" s="251" t="s">
        <v>186</v>
      </c>
      <c r="L29" s="55"/>
      <c r="M29" s="55"/>
      <c r="N29" s="249"/>
      <c r="O29" s="235"/>
      <c r="P29" s="249"/>
      <c r="Q29" s="249"/>
      <c r="R29" s="235"/>
      <c r="S29" s="250"/>
      <c r="T29" s="180"/>
    </row>
    <row r="30" spans="2:20" s="806" customFormat="1" ht="10.5" customHeight="1">
      <c r="B30" s="807" t="s">
        <v>189</v>
      </c>
      <c r="C30" s="808" t="s">
        <v>195</v>
      </c>
      <c r="D30" s="809"/>
      <c r="E30" s="979" t="s">
        <v>234</v>
      </c>
      <c r="F30" s="980"/>
      <c r="G30" s="981" t="s">
        <v>181</v>
      </c>
      <c r="H30" s="982"/>
      <c r="I30" s="981" t="s">
        <v>366</v>
      </c>
      <c r="J30" s="983"/>
      <c r="K30" s="807" t="s">
        <v>19</v>
      </c>
      <c r="L30" s="810" t="s">
        <v>187</v>
      </c>
      <c r="M30" s="810" t="s">
        <v>21</v>
      </c>
      <c r="N30" s="810" t="s">
        <v>23</v>
      </c>
      <c r="O30" s="811" t="s">
        <v>234</v>
      </c>
      <c r="P30" s="812"/>
      <c r="Q30" s="810" t="s">
        <v>188</v>
      </c>
      <c r="R30" s="813" t="s">
        <v>52</v>
      </c>
      <c r="S30" s="805"/>
      <c r="T30" s="329"/>
    </row>
    <row r="31" spans="2:20" s="105" customFormat="1" ht="12" customHeight="1">
      <c r="B31" s="259"/>
      <c r="C31" s="976"/>
      <c r="D31" s="977"/>
      <c r="E31" s="984"/>
      <c r="F31" s="985"/>
      <c r="G31" s="986"/>
      <c r="H31" s="987"/>
      <c r="I31" s="988"/>
      <c r="J31" s="989"/>
      <c r="K31" s="259"/>
      <c r="L31" s="768"/>
      <c r="M31" s="768"/>
      <c r="N31" s="768"/>
      <c r="O31" s="962"/>
      <c r="P31" s="963"/>
      <c r="Q31" s="768"/>
      <c r="R31" s="684"/>
      <c r="S31" s="74"/>
      <c r="T31" s="253"/>
    </row>
    <row r="32" spans="2:20" s="206" customFormat="1" ht="2.25" customHeight="1">
      <c r="B32" s="204"/>
      <c r="C32" s="246"/>
      <c r="D32" s="205"/>
      <c r="E32" s="215"/>
      <c r="F32" s="245"/>
      <c r="G32" s="158"/>
      <c r="H32" s="158"/>
      <c r="I32" s="244"/>
      <c r="J32" s="205"/>
      <c r="K32" s="246"/>
      <c r="L32" s="252"/>
      <c r="M32" s="252"/>
      <c r="N32" s="252"/>
      <c r="O32" s="244"/>
      <c r="P32" s="245"/>
      <c r="Q32" s="252"/>
      <c r="R32" s="215"/>
      <c r="S32" s="205"/>
      <c r="T32" s="213"/>
    </row>
    <row r="33" spans="2:20" ht="12.75">
      <c r="B33" s="207" t="s">
        <v>167</v>
      </c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9"/>
      <c r="T33" s="208"/>
    </row>
    <row r="34" spans="2:20" ht="10.5" customHeight="1">
      <c r="B34" s="125"/>
      <c r="C34" s="814" t="s">
        <v>97</v>
      </c>
      <c r="D34" s="815"/>
      <c r="E34" s="815"/>
      <c r="F34" s="815"/>
      <c r="G34" s="815"/>
      <c r="H34" s="814" t="s">
        <v>15</v>
      </c>
      <c r="I34" s="815"/>
      <c r="J34" s="815"/>
      <c r="K34" s="814" t="s">
        <v>102</v>
      </c>
      <c r="L34" s="815"/>
      <c r="M34" s="815"/>
      <c r="N34" s="814"/>
      <c r="O34" s="815"/>
      <c r="P34" s="815"/>
      <c r="Q34" s="816" t="s">
        <v>29</v>
      </c>
      <c r="R34" s="814" t="s">
        <v>173</v>
      </c>
      <c r="S34" s="218"/>
      <c r="T34" s="208"/>
    </row>
    <row r="35" spans="2:20" ht="48" customHeight="1">
      <c r="B35" s="312"/>
      <c r="C35" s="193" t="s">
        <v>71</v>
      </c>
      <c r="D35" s="194" t="s">
        <v>142</v>
      </c>
      <c r="E35" s="194" t="s">
        <v>143</v>
      </c>
      <c r="F35" s="194" t="s">
        <v>144</v>
      </c>
      <c r="G35" s="195" t="s">
        <v>98</v>
      </c>
      <c r="H35" s="193" t="s">
        <v>145</v>
      </c>
      <c r="I35" s="194" t="s">
        <v>166</v>
      </c>
      <c r="J35" s="195" t="s">
        <v>146</v>
      </c>
      <c r="K35" s="193" t="s">
        <v>118</v>
      </c>
      <c r="L35" s="194" t="s">
        <v>145</v>
      </c>
      <c r="M35" s="194" t="s">
        <v>266</v>
      </c>
      <c r="N35" s="194" t="s">
        <v>147</v>
      </c>
      <c r="O35" s="194" t="s">
        <v>99</v>
      </c>
      <c r="P35" s="195" t="s">
        <v>100</v>
      </c>
      <c r="Q35" s="282"/>
      <c r="R35" s="216"/>
      <c r="S35" s="219"/>
      <c r="T35" s="214"/>
    </row>
    <row r="36" spans="2:20" ht="12" customHeight="1">
      <c r="B36" s="800" t="s">
        <v>175</v>
      </c>
      <c r="C36" s="821"/>
      <c r="D36" s="822"/>
      <c r="E36" s="822"/>
      <c r="F36" s="822"/>
      <c r="G36" s="823"/>
      <c r="H36" s="821"/>
      <c r="I36" s="822"/>
      <c r="J36" s="823"/>
      <c r="K36" s="821"/>
      <c r="L36" s="822"/>
      <c r="M36" s="822"/>
      <c r="N36" s="822"/>
      <c r="O36" s="822"/>
      <c r="P36" s="823"/>
      <c r="Q36" s="824"/>
      <c r="R36" s="825"/>
      <c r="S36" s="220"/>
      <c r="T36" s="208"/>
    </row>
    <row r="37" spans="2:20" ht="12" customHeight="1">
      <c r="B37" s="800" t="s">
        <v>267</v>
      </c>
      <c r="C37" s="826"/>
      <c r="D37" s="827"/>
      <c r="E37" s="827"/>
      <c r="F37" s="827"/>
      <c r="G37" s="828"/>
      <c r="H37" s="826"/>
      <c r="I37" s="827"/>
      <c r="J37" s="828"/>
      <c r="K37" s="826"/>
      <c r="L37" s="827"/>
      <c r="M37" s="827"/>
      <c r="N37" s="827"/>
      <c r="O37" s="827"/>
      <c r="P37" s="828"/>
      <c r="Q37" s="829"/>
      <c r="R37" s="830">
        <f>SUM(B37:Q37)</f>
        <v>0</v>
      </c>
      <c r="S37" s="221"/>
      <c r="T37" s="208"/>
    </row>
    <row r="38" spans="2:20" ht="12" customHeight="1">
      <c r="B38" s="800" t="s">
        <v>101</v>
      </c>
      <c r="C38" s="817">
        <f aca="true" t="shared" si="3" ref="C38:Q38">IF(C37&gt;0,0,IF(C36="Inferior",0.025,IF(C36="Superior",-0.025,0)))</f>
        <v>0</v>
      </c>
      <c r="D38" s="818">
        <f t="shared" si="3"/>
        <v>0</v>
      </c>
      <c r="E38" s="818">
        <f t="shared" si="3"/>
        <v>0</v>
      </c>
      <c r="F38" s="818">
        <f t="shared" si="3"/>
        <v>0</v>
      </c>
      <c r="G38" s="831">
        <f t="shared" si="3"/>
        <v>0</v>
      </c>
      <c r="H38" s="817">
        <f t="shared" si="3"/>
        <v>0</v>
      </c>
      <c r="I38" s="818">
        <f t="shared" si="3"/>
        <v>0</v>
      </c>
      <c r="J38" s="831">
        <f t="shared" si="3"/>
        <v>0</v>
      </c>
      <c r="K38" s="817">
        <f t="shared" si="3"/>
        <v>0</v>
      </c>
      <c r="L38" s="818">
        <f t="shared" si="3"/>
        <v>0</v>
      </c>
      <c r="M38" s="818">
        <f t="shared" si="3"/>
        <v>0</v>
      </c>
      <c r="N38" s="818">
        <f t="shared" si="3"/>
        <v>0</v>
      </c>
      <c r="O38" s="818">
        <f t="shared" si="3"/>
        <v>0</v>
      </c>
      <c r="P38" s="831">
        <f t="shared" si="3"/>
        <v>0</v>
      </c>
      <c r="Q38" s="832">
        <f t="shared" si="3"/>
        <v>0</v>
      </c>
      <c r="R38" s="833"/>
      <c r="S38" s="222"/>
      <c r="T38" s="208"/>
    </row>
    <row r="39" spans="2:20" ht="12" customHeight="1">
      <c r="B39" s="800" t="s">
        <v>265</v>
      </c>
      <c r="C39" s="817">
        <f aca="true" t="shared" si="4" ref="C39:Q39">IF($C27=0,0,100%)</f>
        <v>0</v>
      </c>
      <c r="D39" s="818">
        <f t="shared" si="4"/>
        <v>0</v>
      </c>
      <c r="E39" s="818">
        <f t="shared" si="4"/>
        <v>0</v>
      </c>
      <c r="F39" s="818">
        <f t="shared" si="4"/>
        <v>0</v>
      </c>
      <c r="G39" s="831">
        <f t="shared" si="4"/>
        <v>0</v>
      </c>
      <c r="H39" s="817">
        <f t="shared" si="4"/>
        <v>0</v>
      </c>
      <c r="I39" s="818">
        <f t="shared" si="4"/>
        <v>0</v>
      </c>
      <c r="J39" s="831">
        <f t="shared" si="4"/>
        <v>0</v>
      </c>
      <c r="K39" s="817">
        <f t="shared" si="4"/>
        <v>0</v>
      </c>
      <c r="L39" s="818">
        <f t="shared" si="4"/>
        <v>0</v>
      </c>
      <c r="M39" s="818">
        <f t="shared" si="4"/>
        <v>0</v>
      </c>
      <c r="N39" s="818">
        <f t="shared" si="4"/>
        <v>0</v>
      </c>
      <c r="O39" s="818">
        <f t="shared" si="4"/>
        <v>0</v>
      </c>
      <c r="P39" s="831">
        <f t="shared" si="4"/>
        <v>0</v>
      </c>
      <c r="Q39" s="832">
        <f t="shared" si="4"/>
        <v>0</v>
      </c>
      <c r="R39" s="834">
        <f>PRODUCT(B39:Q39)</f>
        <v>0</v>
      </c>
      <c r="S39" s="222"/>
      <c r="T39" s="208"/>
    </row>
    <row r="40" spans="2:20" ht="12" customHeight="1">
      <c r="B40" s="801" t="s">
        <v>194</v>
      </c>
      <c r="C40" s="819">
        <f aca="true" t="shared" si="5" ref="C40:Q40">(1+C38)*C39</f>
        <v>0</v>
      </c>
      <c r="D40" s="820">
        <f t="shared" si="5"/>
        <v>0</v>
      </c>
      <c r="E40" s="820">
        <f t="shared" si="5"/>
        <v>0</v>
      </c>
      <c r="F40" s="820">
        <f t="shared" si="5"/>
        <v>0</v>
      </c>
      <c r="G40" s="835">
        <f t="shared" si="5"/>
        <v>0</v>
      </c>
      <c r="H40" s="819">
        <f t="shared" si="5"/>
        <v>0</v>
      </c>
      <c r="I40" s="820">
        <f t="shared" si="5"/>
        <v>0</v>
      </c>
      <c r="J40" s="835">
        <f t="shared" si="5"/>
        <v>0</v>
      </c>
      <c r="K40" s="819">
        <f t="shared" si="5"/>
        <v>0</v>
      </c>
      <c r="L40" s="820">
        <f t="shared" si="5"/>
        <v>0</v>
      </c>
      <c r="M40" s="820">
        <f t="shared" si="5"/>
        <v>0</v>
      </c>
      <c r="N40" s="820">
        <f t="shared" si="5"/>
        <v>0</v>
      </c>
      <c r="O40" s="820">
        <f t="shared" si="5"/>
        <v>0</v>
      </c>
      <c r="P40" s="835">
        <f t="shared" si="5"/>
        <v>0</v>
      </c>
      <c r="Q40" s="836">
        <f t="shared" si="5"/>
        <v>0</v>
      </c>
      <c r="R40" s="837">
        <f>IF(R39&gt;0,PRODUCT(B40:Q40)/R39,0)</f>
        <v>0</v>
      </c>
      <c r="S40" s="223"/>
      <c r="T40" s="208"/>
    </row>
    <row r="41" spans="2:20" ht="12.75" customHeight="1">
      <c r="B41" s="170" t="s">
        <v>192</v>
      </c>
      <c r="C41" s="911"/>
      <c r="D41" s="972"/>
      <c r="E41" s="972"/>
      <c r="F41" s="972"/>
      <c r="G41" s="972"/>
      <c r="H41" s="972"/>
      <c r="I41" s="972"/>
      <c r="J41" s="972"/>
      <c r="K41" s="972"/>
      <c r="L41" s="972"/>
      <c r="M41" s="973"/>
      <c r="N41" s="125"/>
      <c r="P41" s="362" t="s">
        <v>196</v>
      </c>
      <c r="Q41" s="966">
        <f>C27*R40+R37</f>
        <v>0</v>
      </c>
      <c r="R41" s="967"/>
      <c r="S41" s="217"/>
      <c r="T41" s="208"/>
    </row>
    <row r="42" spans="2:20" ht="12.75" customHeight="1">
      <c r="B42" s="171"/>
      <c r="C42" s="974"/>
      <c r="D42" s="974"/>
      <c r="E42" s="974"/>
      <c r="F42" s="974"/>
      <c r="G42" s="974"/>
      <c r="H42" s="974"/>
      <c r="I42" s="974"/>
      <c r="J42" s="974"/>
      <c r="K42" s="974"/>
      <c r="L42" s="974"/>
      <c r="M42" s="975"/>
      <c r="N42" s="211"/>
      <c r="O42" s="254"/>
      <c r="P42" s="373" t="s">
        <v>174</v>
      </c>
      <c r="Q42" s="968">
        <f>IF(OR(E31&gt;0,O31&gt;0),IF(O31&gt;0,Q41/O31,Q41/E31),0)</f>
        <v>0</v>
      </c>
      <c r="R42" s="969"/>
      <c r="S42" s="209"/>
      <c r="T42" s="208"/>
    </row>
    <row r="43" spans="2:20" s="49" customFormat="1" ht="13.5" customHeight="1">
      <c r="B43" s="701" t="s">
        <v>152</v>
      </c>
      <c r="C43" s="632"/>
      <c r="D43" s="632"/>
      <c r="E43" s="702">
        <f>E23+1</f>
        <v>3</v>
      </c>
      <c r="F43" s="702" t="s">
        <v>172</v>
      </c>
      <c r="G43" s="964"/>
      <c r="H43" s="964"/>
      <c r="I43" s="795"/>
      <c r="J43" s="703" t="s">
        <v>151</v>
      </c>
      <c r="K43" s="964"/>
      <c r="L43" s="964"/>
      <c r="M43" s="964"/>
      <c r="N43" s="964"/>
      <c r="O43" s="795"/>
      <c r="P43" s="703" t="s">
        <v>10</v>
      </c>
      <c r="Q43" s="964"/>
      <c r="R43" s="964"/>
      <c r="S43" s="965"/>
      <c r="T43" s="796"/>
    </row>
    <row r="44" spans="2:20" s="360" customFormat="1" ht="11.25" customHeight="1">
      <c r="B44" s="366" t="s">
        <v>148</v>
      </c>
      <c r="C44" s="959"/>
      <c r="D44" s="959"/>
      <c r="E44" s="959"/>
      <c r="F44" s="959"/>
      <c r="G44" s="959"/>
      <c r="H44" s="367" t="s">
        <v>5</v>
      </c>
      <c r="I44" s="959"/>
      <c r="J44" s="959"/>
      <c r="K44" s="959"/>
      <c r="L44" s="959"/>
      <c r="M44" s="959"/>
      <c r="O44" s="367" t="s">
        <v>130</v>
      </c>
      <c r="P44" s="990"/>
      <c r="Q44" s="990"/>
      <c r="R44" s="990"/>
      <c r="S44" s="368"/>
      <c r="T44" s="369"/>
    </row>
    <row r="45" spans="2:20" s="360" customFormat="1" ht="11.25" customHeight="1">
      <c r="B45" s="370" t="s">
        <v>232</v>
      </c>
      <c r="C45" s="957"/>
      <c r="D45" s="957"/>
      <c r="E45" s="957"/>
      <c r="F45" s="957"/>
      <c r="H45" s="367" t="s">
        <v>120</v>
      </c>
      <c r="I45" s="971"/>
      <c r="J45" s="971"/>
      <c r="K45" s="971"/>
      <c r="L45" s="971"/>
      <c r="M45" s="971"/>
      <c r="O45" s="367" t="s">
        <v>149</v>
      </c>
      <c r="P45" s="957"/>
      <c r="Q45" s="958"/>
      <c r="R45" s="958"/>
      <c r="S45" s="371"/>
      <c r="T45" s="348"/>
    </row>
    <row r="46" spans="2:20" s="344" customFormat="1" ht="11.25" customHeight="1">
      <c r="B46" s="721"/>
      <c r="C46" s="670"/>
      <c r="D46" s="323" t="s">
        <v>488</v>
      </c>
      <c r="E46" s="719"/>
      <c r="F46" s="670"/>
      <c r="H46" s="345" t="s">
        <v>489</v>
      </c>
      <c r="I46" s="719"/>
      <c r="J46" s="722"/>
      <c r="K46" s="722"/>
      <c r="L46" s="323" t="s">
        <v>490</v>
      </c>
      <c r="M46" s="719"/>
      <c r="O46" s="323" t="s">
        <v>491</v>
      </c>
      <c r="P46" s="960"/>
      <c r="Q46" s="960"/>
      <c r="R46" s="960"/>
      <c r="S46" s="322"/>
      <c r="T46" s="348"/>
    </row>
    <row r="47" spans="2:20" s="360" customFormat="1" ht="11.25" customHeight="1">
      <c r="B47" s="370" t="s">
        <v>233</v>
      </c>
      <c r="C47" s="970"/>
      <c r="D47" s="970"/>
      <c r="E47" s="372" t="s">
        <v>460</v>
      </c>
      <c r="F47" s="688">
        <f>IF(E51&gt;0,C47/E51,0)</f>
        <v>0</v>
      </c>
      <c r="G47" s="372" t="s">
        <v>461</v>
      </c>
      <c r="H47" s="688">
        <f>IF(O51&gt;0,C47/O51,0)</f>
        <v>0</v>
      </c>
      <c r="I47" s="367"/>
      <c r="J47" s="367" t="s">
        <v>150</v>
      </c>
      <c r="K47" s="978"/>
      <c r="L47" s="978"/>
      <c r="M47" s="367"/>
      <c r="O47" s="367" t="s">
        <v>193</v>
      </c>
      <c r="P47" s="957"/>
      <c r="Q47" s="957"/>
      <c r="R47" s="957"/>
      <c r="S47" s="322"/>
      <c r="T47" s="348"/>
    </row>
    <row r="48" spans="2:20" s="40" customFormat="1" ht="2.25" customHeight="1">
      <c r="B48" s="256"/>
      <c r="C48" s="210"/>
      <c r="D48" s="210"/>
      <c r="E48" s="243"/>
      <c r="F48" s="57"/>
      <c r="G48" s="212"/>
      <c r="H48" s="210"/>
      <c r="I48" s="57"/>
      <c r="J48" s="243"/>
      <c r="K48" s="210"/>
      <c r="L48" s="243"/>
      <c r="M48" s="243"/>
      <c r="N48" s="243"/>
      <c r="O48" s="243"/>
      <c r="P48" s="210"/>
      <c r="Q48" s="210"/>
      <c r="R48" s="210"/>
      <c r="S48" s="209"/>
      <c r="T48" s="180"/>
    </row>
    <row r="49" spans="2:20" s="40" customFormat="1" ht="10.5" customHeight="1">
      <c r="B49" s="802" t="s">
        <v>190</v>
      </c>
      <c r="C49" s="803" t="s">
        <v>191</v>
      </c>
      <c r="D49" s="804"/>
      <c r="E49" s="247" t="s">
        <v>185</v>
      </c>
      <c r="F49" s="247"/>
      <c r="G49" s="248"/>
      <c r="H49" s="249"/>
      <c r="I49" s="235"/>
      <c r="J49" s="249"/>
      <c r="K49" s="251" t="s">
        <v>186</v>
      </c>
      <c r="L49" s="55"/>
      <c r="M49" s="55"/>
      <c r="N49" s="249"/>
      <c r="O49" s="235"/>
      <c r="P49" s="249"/>
      <c r="Q49" s="249"/>
      <c r="R49" s="235"/>
      <c r="S49" s="250"/>
      <c r="T49" s="180"/>
    </row>
    <row r="50" spans="2:20" s="806" customFormat="1" ht="10.5" customHeight="1">
      <c r="B50" s="807" t="s">
        <v>189</v>
      </c>
      <c r="C50" s="808" t="s">
        <v>195</v>
      </c>
      <c r="D50" s="809"/>
      <c r="E50" s="979" t="s">
        <v>234</v>
      </c>
      <c r="F50" s="980"/>
      <c r="G50" s="981" t="s">
        <v>181</v>
      </c>
      <c r="H50" s="982"/>
      <c r="I50" s="981" t="s">
        <v>366</v>
      </c>
      <c r="J50" s="983"/>
      <c r="K50" s="807" t="s">
        <v>19</v>
      </c>
      <c r="L50" s="810" t="s">
        <v>187</v>
      </c>
      <c r="M50" s="810" t="s">
        <v>21</v>
      </c>
      <c r="N50" s="810" t="s">
        <v>23</v>
      </c>
      <c r="O50" s="811" t="s">
        <v>234</v>
      </c>
      <c r="P50" s="812"/>
      <c r="Q50" s="810" t="s">
        <v>188</v>
      </c>
      <c r="R50" s="813" t="s">
        <v>52</v>
      </c>
      <c r="S50" s="805"/>
      <c r="T50" s="329"/>
    </row>
    <row r="51" spans="2:20" s="105" customFormat="1" ht="12" customHeight="1">
      <c r="B51" s="259"/>
      <c r="C51" s="976"/>
      <c r="D51" s="977"/>
      <c r="E51" s="984"/>
      <c r="F51" s="985"/>
      <c r="G51" s="986"/>
      <c r="H51" s="987"/>
      <c r="I51" s="988"/>
      <c r="J51" s="989"/>
      <c r="K51" s="259"/>
      <c r="L51" s="768"/>
      <c r="M51" s="768"/>
      <c r="N51" s="768"/>
      <c r="O51" s="962"/>
      <c r="P51" s="963"/>
      <c r="Q51" s="768"/>
      <c r="R51" s="684"/>
      <c r="S51" s="74"/>
      <c r="T51" s="253"/>
    </row>
    <row r="52" spans="2:20" s="206" customFormat="1" ht="2.25" customHeight="1">
      <c r="B52" s="204"/>
      <c r="C52" s="246"/>
      <c r="D52" s="205"/>
      <c r="E52" s="215"/>
      <c r="F52" s="245"/>
      <c r="G52" s="158"/>
      <c r="H52" s="158"/>
      <c r="I52" s="244"/>
      <c r="J52" s="205"/>
      <c r="K52" s="246"/>
      <c r="L52" s="252"/>
      <c r="M52" s="252"/>
      <c r="N52" s="252"/>
      <c r="O52" s="244"/>
      <c r="P52" s="245"/>
      <c r="Q52" s="252"/>
      <c r="R52" s="215"/>
      <c r="S52" s="205"/>
      <c r="T52" s="213"/>
    </row>
    <row r="53" spans="2:20" ht="12.75">
      <c r="B53" s="207" t="s">
        <v>167</v>
      </c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9"/>
      <c r="T53" s="208"/>
    </row>
    <row r="54" spans="2:20" ht="10.5" customHeight="1">
      <c r="B54" s="125"/>
      <c r="C54" s="814" t="s">
        <v>97</v>
      </c>
      <c r="D54" s="815"/>
      <c r="E54" s="815"/>
      <c r="F54" s="815"/>
      <c r="G54" s="815"/>
      <c r="H54" s="814" t="s">
        <v>15</v>
      </c>
      <c r="I54" s="815"/>
      <c r="J54" s="815"/>
      <c r="K54" s="814" t="s">
        <v>102</v>
      </c>
      <c r="L54" s="815"/>
      <c r="M54" s="815"/>
      <c r="N54" s="814"/>
      <c r="O54" s="815"/>
      <c r="P54" s="815"/>
      <c r="Q54" s="816" t="s">
        <v>29</v>
      </c>
      <c r="R54" s="814" t="s">
        <v>173</v>
      </c>
      <c r="S54" s="218"/>
      <c r="T54" s="208"/>
    </row>
    <row r="55" spans="2:20" ht="48" customHeight="1">
      <c r="B55" s="312"/>
      <c r="C55" s="193" t="s">
        <v>71</v>
      </c>
      <c r="D55" s="194" t="s">
        <v>142</v>
      </c>
      <c r="E55" s="194" t="s">
        <v>143</v>
      </c>
      <c r="F55" s="194" t="s">
        <v>144</v>
      </c>
      <c r="G55" s="195" t="s">
        <v>98</v>
      </c>
      <c r="H55" s="193" t="s">
        <v>145</v>
      </c>
      <c r="I55" s="194" t="s">
        <v>166</v>
      </c>
      <c r="J55" s="195" t="s">
        <v>146</v>
      </c>
      <c r="K55" s="193" t="s">
        <v>118</v>
      </c>
      <c r="L55" s="194" t="s">
        <v>145</v>
      </c>
      <c r="M55" s="194" t="s">
        <v>266</v>
      </c>
      <c r="N55" s="194" t="s">
        <v>147</v>
      </c>
      <c r="O55" s="194" t="s">
        <v>99</v>
      </c>
      <c r="P55" s="195" t="s">
        <v>100</v>
      </c>
      <c r="Q55" s="282"/>
      <c r="R55" s="216"/>
      <c r="S55" s="219"/>
      <c r="T55" s="214"/>
    </row>
    <row r="56" spans="2:20" ht="12" customHeight="1">
      <c r="B56" s="800" t="s">
        <v>175</v>
      </c>
      <c r="C56" s="821"/>
      <c r="D56" s="822"/>
      <c r="E56" s="822"/>
      <c r="F56" s="822"/>
      <c r="G56" s="823"/>
      <c r="H56" s="821"/>
      <c r="I56" s="822"/>
      <c r="J56" s="823"/>
      <c r="K56" s="821"/>
      <c r="L56" s="822"/>
      <c r="M56" s="822"/>
      <c r="N56" s="822"/>
      <c r="O56" s="822"/>
      <c r="P56" s="823"/>
      <c r="Q56" s="824"/>
      <c r="R56" s="825"/>
      <c r="S56" s="220"/>
      <c r="T56" s="208"/>
    </row>
    <row r="57" spans="2:20" ht="12" customHeight="1">
      <c r="B57" s="800" t="s">
        <v>267</v>
      </c>
      <c r="C57" s="826"/>
      <c r="D57" s="827"/>
      <c r="E57" s="827"/>
      <c r="F57" s="827"/>
      <c r="G57" s="828"/>
      <c r="H57" s="826"/>
      <c r="I57" s="827"/>
      <c r="J57" s="828"/>
      <c r="K57" s="826"/>
      <c r="L57" s="827"/>
      <c r="M57" s="827"/>
      <c r="N57" s="827"/>
      <c r="O57" s="827"/>
      <c r="P57" s="828"/>
      <c r="Q57" s="829"/>
      <c r="R57" s="830">
        <f>SUM(B57:Q57)</f>
        <v>0</v>
      </c>
      <c r="S57" s="221"/>
      <c r="T57" s="208"/>
    </row>
    <row r="58" spans="2:20" ht="12" customHeight="1">
      <c r="B58" s="800" t="s">
        <v>101</v>
      </c>
      <c r="C58" s="817">
        <f aca="true" t="shared" si="6" ref="C58:Q58">IF(C57&gt;0,0,IF(C56="Inferior",0.025,IF(C56="Superior",-0.025,0)))</f>
        <v>0</v>
      </c>
      <c r="D58" s="818">
        <f t="shared" si="6"/>
        <v>0</v>
      </c>
      <c r="E58" s="818">
        <f t="shared" si="6"/>
        <v>0</v>
      </c>
      <c r="F58" s="818">
        <f t="shared" si="6"/>
        <v>0</v>
      </c>
      <c r="G58" s="831">
        <f t="shared" si="6"/>
        <v>0</v>
      </c>
      <c r="H58" s="817">
        <f t="shared" si="6"/>
        <v>0</v>
      </c>
      <c r="I58" s="818">
        <f t="shared" si="6"/>
        <v>0</v>
      </c>
      <c r="J58" s="831">
        <f t="shared" si="6"/>
        <v>0</v>
      </c>
      <c r="K58" s="817">
        <f t="shared" si="6"/>
        <v>0</v>
      </c>
      <c r="L58" s="818">
        <f t="shared" si="6"/>
        <v>0</v>
      </c>
      <c r="M58" s="818">
        <f t="shared" si="6"/>
        <v>0</v>
      </c>
      <c r="N58" s="818">
        <f t="shared" si="6"/>
        <v>0</v>
      </c>
      <c r="O58" s="818">
        <f t="shared" si="6"/>
        <v>0</v>
      </c>
      <c r="P58" s="831">
        <f t="shared" si="6"/>
        <v>0</v>
      </c>
      <c r="Q58" s="832">
        <f t="shared" si="6"/>
        <v>0</v>
      </c>
      <c r="R58" s="833"/>
      <c r="S58" s="222"/>
      <c r="T58" s="208"/>
    </row>
    <row r="59" spans="2:20" ht="12" customHeight="1">
      <c r="B59" s="800" t="s">
        <v>265</v>
      </c>
      <c r="C59" s="817">
        <f aca="true" t="shared" si="7" ref="C59:Q59">IF($C47=0,0,100%)</f>
        <v>0</v>
      </c>
      <c r="D59" s="818">
        <f t="shared" si="7"/>
        <v>0</v>
      </c>
      <c r="E59" s="818">
        <f t="shared" si="7"/>
        <v>0</v>
      </c>
      <c r="F59" s="818">
        <f t="shared" si="7"/>
        <v>0</v>
      </c>
      <c r="G59" s="831">
        <f t="shared" si="7"/>
        <v>0</v>
      </c>
      <c r="H59" s="817">
        <f t="shared" si="7"/>
        <v>0</v>
      </c>
      <c r="I59" s="818">
        <f t="shared" si="7"/>
        <v>0</v>
      </c>
      <c r="J59" s="831">
        <f t="shared" si="7"/>
        <v>0</v>
      </c>
      <c r="K59" s="817">
        <f t="shared" si="7"/>
        <v>0</v>
      </c>
      <c r="L59" s="818">
        <f t="shared" si="7"/>
        <v>0</v>
      </c>
      <c r="M59" s="818">
        <f t="shared" si="7"/>
        <v>0</v>
      </c>
      <c r="N59" s="818">
        <f t="shared" si="7"/>
        <v>0</v>
      </c>
      <c r="O59" s="818">
        <f t="shared" si="7"/>
        <v>0</v>
      </c>
      <c r="P59" s="831">
        <f t="shared" si="7"/>
        <v>0</v>
      </c>
      <c r="Q59" s="832">
        <f t="shared" si="7"/>
        <v>0</v>
      </c>
      <c r="R59" s="834">
        <f>PRODUCT(B59:Q59)</f>
        <v>0</v>
      </c>
      <c r="S59" s="222"/>
      <c r="T59" s="208"/>
    </row>
    <row r="60" spans="2:20" ht="12" customHeight="1">
      <c r="B60" s="801" t="s">
        <v>194</v>
      </c>
      <c r="C60" s="819">
        <f aca="true" t="shared" si="8" ref="C60:Q60">(1+C58)*C59</f>
        <v>0</v>
      </c>
      <c r="D60" s="820">
        <f t="shared" si="8"/>
        <v>0</v>
      </c>
      <c r="E60" s="820">
        <f t="shared" si="8"/>
        <v>0</v>
      </c>
      <c r="F60" s="820">
        <f t="shared" si="8"/>
        <v>0</v>
      </c>
      <c r="G60" s="835">
        <f t="shared" si="8"/>
        <v>0</v>
      </c>
      <c r="H60" s="819">
        <f t="shared" si="8"/>
        <v>0</v>
      </c>
      <c r="I60" s="820">
        <f t="shared" si="8"/>
        <v>0</v>
      </c>
      <c r="J60" s="835">
        <f t="shared" si="8"/>
        <v>0</v>
      </c>
      <c r="K60" s="819">
        <f t="shared" si="8"/>
        <v>0</v>
      </c>
      <c r="L60" s="820">
        <f t="shared" si="8"/>
        <v>0</v>
      </c>
      <c r="M60" s="820">
        <f t="shared" si="8"/>
        <v>0</v>
      </c>
      <c r="N60" s="820">
        <f t="shared" si="8"/>
        <v>0</v>
      </c>
      <c r="O60" s="820">
        <f t="shared" si="8"/>
        <v>0</v>
      </c>
      <c r="P60" s="835">
        <f t="shared" si="8"/>
        <v>0</v>
      </c>
      <c r="Q60" s="836">
        <f t="shared" si="8"/>
        <v>0</v>
      </c>
      <c r="R60" s="837">
        <f>IF(R59&gt;0,PRODUCT(B60:Q60)/R59,0)</f>
        <v>0</v>
      </c>
      <c r="S60" s="223"/>
      <c r="T60" s="208"/>
    </row>
    <row r="61" spans="2:20" ht="12.75" customHeight="1">
      <c r="B61" s="170" t="s">
        <v>192</v>
      </c>
      <c r="C61" s="911"/>
      <c r="D61" s="972"/>
      <c r="E61" s="972"/>
      <c r="F61" s="972"/>
      <c r="G61" s="972"/>
      <c r="H61" s="972"/>
      <c r="I61" s="972"/>
      <c r="J61" s="972"/>
      <c r="K61" s="972"/>
      <c r="L61" s="972"/>
      <c r="M61" s="973"/>
      <c r="N61" s="125"/>
      <c r="P61" s="362" t="s">
        <v>196</v>
      </c>
      <c r="Q61" s="966">
        <f>C47*R60+R57</f>
        <v>0</v>
      </c>
      <c r="R61" s="967"/>
      <c r="S61" s="217"/>
      <c r="T61" s="208"/>
    </row>
    <row r="62" spans="2:20" ht="12.75" customHeight="1">
      <c r="B62" s="171"/>
      <c r="C62" s="974"/>
      <c r="D62" s="974"/>
      <c r="E62" s="974"/>
      <c r="F62" s="974"/>
      <c r="G62" s="974"/>
      <c r="H62" s="974"/>
      <c r="I62" s="974"/>
      <c r="J62" s="974"/>
      <c r="K62" s="974"/>
      <c r="L62" s="974"/>
      <c r="M62" s="975"/>
      <c r="N62" s="211"/>
      <c r="O62" s="254"/>
      <c r="P62" s="373" t="s">
        <v>174</v>
      </c>
      <c r="Q62" s="968">
        <f>IF(OR(E51&gt;0,O51&gt;0),IF(O51&gt;0,Q61/O51,Q61/E51),0)</f>
        <v>0</v>
      </c>
      <c r="R62" s="969"/>
      <c r="S62" s="209"/>
      <c r="T62" s="208"/>
    </row>
    <row r="63" spans="2:20" s="49" customFormat="1" ht="13.5" customHeight="1">
      <c r="B63" s="701" t="s">
        <v>152</v>
      </c>
      <c r="C63" s="632"/>
      <c r="D63" s="632"/>
      <c r="E63" s="702">
        <f>E43+1</f>
        <v>4</v>
      </c>
      <c r="F63" s="702" t="s">
        <v>172</v>
      </c>
      <c r="G63" s="964"/>
      <c r="H63" s="964"/>
      <c r="I63" s="795"/>
      <c r="J63" s="703" t="s">
        <v>151</v>
      </c>
      <c r="K63" s="964"/>
      <c r="L63" s="964"/>
      <c r="M63" s="964"/>
      <c r="N63" s="964"/>
      <c r="O63" s="795"/>
      <c r="P63" s="703" t="s">
        <v>10</v>
      </c>
      <c r="Q63" s="964"/>
      <c r="R63" s="964"/>
      <c r="S63" s="965"/>
      <c r="T63" s="796"/>
    </row>
    <row r="64" spans="2:20" s="360" customFormat="1" ht="11.25" customHeight="1">
      <c r="B64" s="366" t="s">
        <v>148</v>
      </c>
      <c r="C64" s="959"/>
      <c r="D64" s="959"/>
      <c r="E64" s="959"/>
      <c r="F64" s="959"/>
      <c r="G64" s="959"/>
      <c r="H64" s="367" t="s">
        <v>5</v>
      </c>
      <c r="I64" s="959"/>
      <c r="J64" s="959"/>
      <c r="K64" s="959"/>
      <c r="L64" s="959"/>
      <c r="M64" s="959"/>
      <c r="O64" s="367" t="s">
        <v>130</v>
      </c>
      <c r="P64" s="990"/>
      <c r="Q64" s="990"/>
      <c r="R64" s="990"/>
      <c r="S64" s="368"/>
      <c r="T64" s="369"/>
    </row>
    <row r="65" spans="2:20" s="360" customFormat="1" ht="11.25" customHeight="1">
      <c r="B65" s="370" t="s">
        <v>232</v>
      </c>
      <c r="C65" s="957"/>
      <c r="D65" s="957"/>
      <c r="E65" s="957"/>
      <c r="F65" s="957"/>
      <c r="H65" s="367" t="s">
        <v>120</v>
      </c>
      <c r="I65" s="971"/>
      <c r="J65" s="971"/>
      <c r="K65" s="971"/>
      <c r="L65" s="971"/>
      <c r="M65" s="971"/>
      <c r="O65" s="367" t="s">
        <v>149</v>
      </c>
      <c r="P65" s="957"/>
      <c r="Q65" s="958"/>
      <c r="R65" s="958"/>
      <c r="S65" s="371"/>
      <c r="T65" s="348"/>
    </row>
    <row r="66" spans="2:20" s="344" customFormat="1" ht="11.25" customHeight="1">
      <c r="B66" s="721"/>
      <c r="C66" s="670"/>
      <c r="D66" s="323" t="s">
        <v>488</v>
      </c>
      <c r="E66" s="719"/>
      <c r="F66" s="670"/>
      <c r="H66" s="345" t="s">
        <v>489</v>
      </c>
      <c r="I66" s="719"/>
      <c r="J66" s="722"/>
      <c r="K66" s="722"/>
      <c r="L66" s="323" t="s">
        <v>490</v>
      </c>
      <c r="M66" s="719"/>
      <c r="O66" s="323" t="s">
        <v>491</v>
      </c>
      <c r="P66" s="960"/>
      <c r="Q66" s="960"/>
      <c r="R66" s="960"/>
      <c r="S66" s="322"/>
      <c r="T66" s="348"/>
    </row>
    <row r="67" spans="2:20" s="360" customFormat="1" ht="11.25" customHeight="1">
      <c r="B67" s="370" t="s">
        <v>233</v>
      </c>
      <c r="C67" s="970"/>
      <c r="D67" s="970"/>
      <c r="E67" s="372" t="s">
        <v>460</v>
      </c>
      <c r="F67" s="688">
        <f>IF(E71&gt;0,C67/E71,0)</f>
        <v>0</v>
      </c>
      <c r="G67" s="372" t="s">
        <v>461</v>
      </c>
      <c r="H67" s="688">
        <f>IF(O71&gt;0,C67/O71,0)</f>
        <v>0</v>
      </c>
      <c r="I67" s="367"/>
      <c r="J67" s="367" t="s">
        <v>150</v>
      </c>
      <c r="K67" s="978"/>
      <c r="L67" s="978"/>
      <c r="M67" s="367"/>
      <c r="O67" s="367" t="s">
        <v>193</v>
      </c>
      <c r="P67" s="957"/>
      <c r="Q67" s="957"/>
      <c r="R67" s="957"/>
      <c r="S67" s="322"/>
      <c r="T67" s="348"/>
    </row>
    <row r="68" spans="2:20" s="40" customFormat="1" ht="2.25" customHeight="1">
      <c r="B68" s="256"/>
      <c r="C68" s="210"/>
      <c r="D68" s="210"/>
      <c r="E68" s="243"/>
      <c r="F68" s="57"/>
      <c r="G68" s="212"/>
      <c r="H68" s="210"/>
      <c r="I68" s="57"/>
      <c r="J68" s="243"/>
      <c r="K68" s="210"/>
      <c r="L68" s="243"/>
      <c r="M68" s="243"/>
      <c r="N68" s="243"/>
      <c r="O68" s="243"/>
      <c r="P68" s="210"/>
      <c r="Q68" s="210"/>
      <c r="R68" s="210"/>
      <c r="S68" s="209"/>
      <c r="T68" s="180"/>
    </row>
    <row r="69" spans="2:20" s="40" customFormat="1" ht="10.5" customHeight="1">
      <c r="B69" s="802" t="s">
        <v>190</v>
      </c>
      <c r="C69" s="803" t="s">
        <v>191</v>
      </c>
      <c r="D69" s="804"/>
      <c r="E69" s="247" t="s">
        <v>185</v>
      </c>
      <c r="F69" s="247"/>
      <c r="G69" s="248"/>
      <c r="H69" s="249"/>
      <c r="I69" s="235"/>
      <c r="J69" s="249"/>
      <c r="K69" s="251" t="s">
        <v>186</v>
      </c>
      <c r="L69" s="55"/>
      <c r="M69" s="55"/>
      <c r="N69" s="249"/>
      <c r="O69" s="235"/>
      <c r="P69" s="249"/>
      <c r="Q69" s="249"/>
      <c r="R69" s="235"/>
      <c r="S69" s="250"/>
      <c r="T69" s="180"/>
    </row>
    <row r="70" spans="2:20" s="806" customFormat="1" ht="10.5" customHeight="1">
      <c r="B70" s="807" t="s">
        <v>189</v>
      </c>
      <c r="C70" s="808" t="s">
        <v>195</v>
      </c>
      <c r="D70" s="809"/>
      <c r="E70" s="979" t="s">
        <v>234</v>
      </c>
      <c r="F70" s="980"/>
      <c r="G70" s="981" t="s">
        <v>181</v>
      </c>
      <c r="H70" s="982"/>
      <c r="I70" s="981" t="s">
        <v>366</v>
      </c>
      <c r="J70" s="983"/>
      <c r="K70" s="807" t="s">
        <v>19</v>
      </c>
      <c r="L70" s="810" t="s">
        <v>187</v>
      </c>
      <c r="M70" s="810" t="s">
        <v>21</v>
      </c>
      <c r="N70" s="810" t="s">
        <v>23</v>
      </c>
      <c r="O70" s="811" t="s">
        <v>234</v>
      </c>
      <c r="P70" s="812"/>
      <c r="Q70" s="810" t="s">
        <v>188</v>
      </c>
      <c r="R70" s="813" t="s">
        <v>52</v>
      </c>
      <c r="S70" s="805"/>
      <c r="T70" s="329"/>
    </row>
    <row r="71" spans="2:20" s="105" customFormat="1" ht="12" customHeight="1">
      <c r="B71" s="259"/>
      <c r="C71" s="976"/>
      <c r="D71" s="977"/>
      <c r="E71" s="984"/>
      <c r="F71" s="985"/>
      <c r="G71" s="986"/>
      <c r="H71" s="987"/>
      <c r="I71" s="988"/>
      <c r="J71" s="989"/>
      <c r="K71" s="259"/>
      <c r="L71" s="768"/>
      <c r="M71" s="768"/>
      <c r="N71" s="768"/>
      <c r="O71" s="962"/>
      <c r="P71" s="963"/>
      <c r="Q71" s="768"/>
      <c r="R71" s="684"/>
      <c r="S71" s="74"/>
      <c r="T71" s="253"/>
    </row>
    <row r="72" spans="2:20" s="206" customFormat="1" ht="2.25" customHeight="1">
      <c r="B72" s="204"/>
      <c r="C72" s="246"/>
      <c r="D72" s="205"/>
      <c r="E72" s="215"/>
      <c r="F72" s="245"/>
      <c r="G72" s="158"/>
      <c r="H72" s="158"/>
      <c r="I72" s="244"/>
      <c r="J72" s="205"/>
      <c r="K72" s="246"/>
      <c r="L72" s="252"/>
      <c r="M72" s="252"/>
      <c r="N72" s="252"/>
      <c r="O72" s="244"/>
      <c r="P72" s="245"/>
      <c r="Q72" s="252"/>
      <c r="R72" s="215"/>
      <c r="S72" s="205"/>
      <c r="T72" s="213"/>
    </row>
    <row r="73" spans="2:20" ht="12.75">
      <c r="B73" s="207" t="s">
        <v>167</v>
      </c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9"/>
      <c r="T73" s="208"/>
    </row>
    <row r="74" spans="2:20" ht="10.5" customHeight="1">
      <c r="B74" s="125"/>
      <c r="C74" s="814" t="s">
        <v>97</v>
      </c>
      <c r="D74" s="815"/>
      <c r="E74" s="815"/>
      <c r="F74" s="815"/>
      <c r="G74" s="815"/>
      <c r="H74" s="814" t="s">
        <v>15</v>
      </c>
      <c r="I74" s="815"/>
      <c r="J74" s="815"/>
      <c r="K74" s="814" t="s">
        <v>102</v>
      </c>
      <c r="L74" s="815"/>
      <c r="M74" s="815"/>
      <c r="N74" s="814"/>
      <c r="O74" s="815"/>
      <c r="P74" s="815"/>
      <c r="Q74" s="816" t="s">
        <v>29</v>
      </c>
      <c r="R74" s="814" t="s">
        <v>173</v>
      </c>
      <c r="S74" s="218"/>
      <c r="T74" s="208"/>
    </row>
    <row r="75" spans="2:20" ht="48" customHeight="1">
      <c r="B75" s="312"/>
      <c r="C75" s="193" t="s">
        <v>71</v>
      </c>
      <c r="D75" s="194" t="s">
        <v>142</v>
      </c>
      <c r="E75" s="194" t="s">
        <v>143</v>
      </c>
      <c r="F75" s="194" t="s">
        <v>144</v>
      </c>
      <c r="G75" s="195" t="s">
        <v>98</v>
      </c>
      <c r="H75" s="193" t="s">
        <v>145</v>
      </c>
      <c r="I75" s="194" t="s">
        <v>166</v>
      </c>
      <c r="J75" s="195" t="s">
        <v>146</v>
      </c>
      <c r="K75" s="193" t="s">
        <v>118</v>
      </c>
      <c r="L75" s="194" t="s">
        <v>145</v>
      </c>
      <c r="M75" s="194" t="s">
        <v>266</v>
      </c>
      <c r="N75" s="194" t="s">
        <v>147</v>
      </c>
      <c r="O75" s="194" t="s">
        <v>99</v>
      </c>
      <c r="P75" s="195" t="s">
        <v>100</v>
      </c>
      <c r="Q75" s="282"/>
      <c r="R75" s="216"/>
      <c r="S75" s="219"/>
      <c r="T75" s="214"/>
    </row>
    <row r="76" spans="2:20" ht="12" customHeight="1">
      <c r="B76" s="800" t="s">
        <v>175</v>
      </c>
      <c r="C76" s="821"/>
      <c r="D76" s="822"/>
      <c r="E76" s="822"/>
      <c r="F76" s="822"/>
      <c r="G76" s="823"/>
      <c r="H76" s="821"/>
      <c r="I76" s="822"/>
      <c r="J76" s="823"/>
      <c r="K76" s="821"/>
      <c r="L76" s="822"/>
      <c r="M76" s="822"/>
      <c r="N76" s="822"/>
      <c r="O76" s="822"/>
      <c r="P76" s="823"/>
      <c r="Q76" s="824"/>
      <c r="R76" s="825"/>
      <c r="S76" s="220"/>
      <c r="T76" s="208"/>
    </row>
    <row r="77" spans="2:20" ht="12" customHeight="1">
      <c r="B77" s="800" t="s">
        <v>267</v>
      </c>
      <c r="C77" s="826"/>
      <c r="D77" s="827"/>
      <c r="E77" s="827"/>
      <c r="F77" s="827"/>
      <c r="G77" s="828"/>
      <c r="H77" s="826"/>
      <c r="I77" s="827"/>
      <c r="J77" s="828"/>
      <c r="K77" s="826"/>
      <c r="L77" s="827"/>
      <c r="M77" s="827"/>
      <c r="N77" s="827"/>
      <c r="O77" s="827"/>
      <c r="P77" s="828"/>
      <c r="Q77" s="829"/>
      <c r="R77" s="830">
        <f>SUM(B77:Q77)</f>
        <v>0</v>
      </c>
      <c r="S77" s="221"/>
      <c r="T77" s="208"/>
    </row>
    <row r="78" spans="2:20" ht="12" customHeight="1">
      <c r="B78" s="800" t="s">
        <v>101</v>
      </c>
      <c r="C78" s="817">
        <f aca="true" t="shared" si="9" ref="C78:Q78">IF(C77&gt;0,0,IF(C76="Inferior",0.025,IF(C76="Superior",-0.025,0)))</f>
        <v>0</v>
      </c>
      <c r="D78" s="818">
        <f t="shared" si="9"/>
        <v>0</v>
      </c>
      <c r="E78" s="818">
        <f t="shared" si="9"/>
        <v>0</v>
      </c>
      <c r="F78" s="818">
        <f t="shared" si="9"/>
        <v>0</v>
      </c>
      <c r="G78" s="831">
        <f t="shared" si="9"/>
        <v>0</v>
      </c>
      <c r="H78" s="817">
        <f t="shared" si="9"/>
        <v>0</v>
      </c>
      <c r="I78" s="818">
        <f t="shared" si="9"/>
        <v>0</v>
      </c>
      <c r="J78" s="831">
        <f t="shared" si="9"/>
        <v>0</v>
      </c>
      <c r="K78" s="817">
        <f t="shared" si="9"/>
        <v>0</v>
      </c>
      <c r="L78" s="818">
        <f t="shared" si="9"/>
        <v>0</v>
      </c>
      <c r="M78" s="818">
        <f t="shared" si="9"/>
        <v>0</v>
      </c>
      <c r="N78" s="818">
        <f t="shared" si="9"/>
        <v>0</v>
      </c>
      <c r="O78" s="818">
        <f t="shared" si="9"/>
        <v>0</v>
      </c>
      <c r="P78" s="831">
        <f t="shared" si="9"/>
        <v>0</v>
      </c>
      <c r="Q78" s="832">
        <f t="shared" si="9"/>
        <v>0</v>
      </c>
      <c r="R78" s="833"/>
      <c r="S78" s="222"/>
      <c r="T78" s="208"/>
    </row>
    <row r="79" spans="2:20" ht="12" customHeight="1">
      <c r="B79" s="800" t="s">
        <v>265</v>
      </c>
      <c r="C79" s="817">
        <f aca="true" t="shared" si="10" ref="C79:Q79">IF($C67=0,0,100%)</f>
        <v>0</v>
      </c>
      <c r="D79" s="818">
        <f t="shared" si="10"/>
        <v>0</v>
      </c>
      <c r="E79" s="818">
        <f t="shared" si="10"/>
        <v>0</v>
      </c>
      <c r="F79" s="818">
        <f t="shared" si="10"/>
        <v>0</v>
      </c>
      <c r="G79" s="831">
        <f t="shared" si="10"/>
        <v>0</v>
      </c>
      <c r="H79" s="817">
        <f t="shared" si="10"/>
        <v>0</v>
      </c>
      <c r="I79" s="818">
        <f t="shared" si="10"/>
        <v>0</v>
      </c>
      <c r="J79" s="831">
        <f t="shared" si="10"/>
        <v>0</v>
      </c>
      <c r="K79" s="817">
        <f t="shared" si="10"/>
        <v>0</v>
      </c>
      <c r="L79" s="818">
        <f t="shared" si="10"/>
        <v>0</v>
      </c>
      <c r="M79" s="818">
        <f t="shared" si="10"/>
        <v>0</v>
      </c>
      <c r="N79" s="818">
        <f t="shared" si="10"/>
        <v>0</v>
      </c>
      <c r="O79" s="818">
        <f t="shared" si="10"/>
        <v>0</v>
      </c>
      <c r="P79" s="831">
        <f t="shared" si="10"/>
        <v>0</v>
      </c>
      <c r="Q79" s="832">
        <f t="shared" si="10"/>
        <v>0</v>
      </c>
      <c r="R79" s="834">
        <f>PRODUCT(B79:Q79)</f>
        <v>0</v>
      </c>
      <c r="S79" s="222"/>
      <c r="T79" s="208"/>
    </row>
    <row r="80" spans="2:20" ht="12" customHeight="1">
      <c r="B80" s="801" t="s">
        <v>194</v>
      </c>
      <c r="C80" s="819">
        <f aca="true" t="shared" si="11" ref="C80:Q80">(1+C78)*C79</f>
        <v>0</v>
      </c>
      <c r="D80" s="820">
        <f t="shared" si="11"/>
        <v>0</v>
      </c>
      <c r="E80" s="820">
        <f t="shared" si="11"/>
        <v>0</v>
      </c>
      <c r="F80" s="820">
        <f t="shared" si="11"/>
        <v>0</v>
      </c>
      <c r="G80" s="835">
        <f t="shared" si="11"/>
        <v>0</v>
      </c>
      <c r="H80" s="819">
        <f t="shared" si="11"/>
        <v>0</v>
      </c>
      <c r="I80" s="820">
        <f t="shared" si="11"/>
        <v>0</v>
      </c>
      <c r="J80" s="835">
        <f t="shared" si="11"/>
        <v>0</v>
      </c>
      <c r="K80" s="819">
        <f t="shared" si="11"/>
        <v>0</v>
      </c>
      <c r="L80" s="820">
        <f t="shared" si="11"/>
        <v>0</v>
      </c>
      <c r="M80" s="820">
        <f t="shared" si="11"/>
        <v>0</v>
      </c>
      <c r="N80" s="820">
        <f t="shared" si="11"/>
        <v>0</v>
      </c>
      <c r="O80" s="820">
        <f t="shared" si="11"/>
        <v>0</v>
      </c>
      <c r="P80" s="835">
        <f t="shared" si="11"/>
        <v>0</v>
      </c>
      <c r="Q80" s="836">
        <f t="shared" si="11"/>
        <v>0</v>
      </c>
      <c r="R80" s="837">
        <f>IF(R79&gt;0,PRODUCT(B80:Q80)/R79,0)</f>
        <v>0</v>
      </c>
      <c r="S80" s="223"/>
      <c r="T80" s="208"/>
    </row>
    <row r="81" spans="2:20" ht="12.75" customHeight="1">
      <c r="B81" s="170" t="s">
        <v>192</v>
      </c>
      <c r="C81" s="911"/>
      <c r="D81" s="972"/>
      <c r="E81" s="972"/>
      <c r="F81" s="972"/>
      <c r="G81" s="972"/>
      <c r="H81" s="972"/>
      <c r="I81" s="972"/>
      <c r="J81" s="972"/>
      <c r="K81" s="972"/>
      <c r="L81" s="972"/>
      <c r="M81" s="973"/>
      <c r="N81" s="125"/>
      <c r="P81" s="362" t="s">
        <v>196</v>
      </c>
      <c r="Q81" s="966">
        <f>C67*R80+R77</f>
        <v>0</v>
      </c>
      <c r="R81" s="967"/>
      <c r="S81" s="217"/>
      <c r="T81" s="208"/>
    </row>
    <row r="82" spans="2:20" ht="12.75" customHeight="1">
      <c r="B82" s="171"/>
      <c r="C82" s="974"/>
      <c r="D82" s="974"/>
      <c r="E82" s="974"/>
      <c r="F82" s="974"/>
      <c r="G82" s="974"/>
      <c r="H82" s="974"/>
      <c r="I82" s="974"/>
      <c r="J82" s="974"/>
      <c r="K82" s="974"/>
      <c r="L82" s="974"/>
      <c r="M82" s="975"/>
      <c r="N82" s="211"/>
      <c r="O82" s="254"/>
      <c r="P82" s="373" t="s">
        <v>174</v>
      </c>
      <c r="Q82" s="968">
        <f>IF(OR(E71&gt;0,O71&gt;0),IF(O71&gt;0,Q81/O71,Q81/E71),0)</f>
        <v>0</v>
      </c>
      <c r="R82" s="969"/>
      <c r="S82" s="209"/>
      <c r="T82" s="208"/>
    </row>
    <row r="83" spans="2:20" s="49" customFormat="1" ht="13.5" customHeight="1">
      <c r="B83" s="701" t="s">
        <v>152</v>
      </c>
      <c r="C83" s="632"/>
      <c r="D83" s="632"/>
      <c r="E83" s="702">
        <f>E63+1</f>
        <v>5</v>
      </c>
      <c r="F83" s="702" t="s">
        <v>172</v>
      </c>
      <c r="G83" s="964"/>
      <c r="H83" s="964"/>
      <c r="I83" s="795"/>
      <c r="J83" s="703" t="s">
        <v>151</v>
      </c>
      <c r="K83" s="964"/>
      <c r="L83" s="964"/>
      <c r="M83" s="964"/>
      <c r="N83" s="964"/>
      <c r="O83" s="795"/>
      <c r="P83" s="703" t="s">
        <v>10</v>
      </c>
      <c r="Q83" s="964"/>
      <c r="R83" s="964"/>
      <c r="S83" s="965"/>
      <c r="T83" s="796"/>
    </row>
    <row r="84" spans="2:20" s="360" customFormat="1" ht="11.25" customHeight="1">
      <c r="B84" s="366" t="s">
        <v>148</v>
      </c>
      <c r="C84" s="959"/>
      <c r="D84" s="959"/>
      <c r="E84" s="959"/>
      <c r="F84" s="959"/>
      <c r="G84" s="959"/>
      <c r="H84" s="367" t="s">
        <v>5</v>
      </c>
      <c r="I84" s="959"/>
      <c r="J84" s="959"/>
      <c r="K84" s="959"/>
      <c r="L84" s="959"/>
      <c r="M84" s="959"/>
      <c r="O84" s="367" t="s">
        <v>130</v>
      </c>
      <c r="P84" s="990"/>
      <c r="Q84" s="990"/>
      <c r="R84" s="990"/>
      <c r="S84" s="368"/>
      <c r="T84" s="369"/>
    </row>
    <row r="85" spans="2:20" s="360" customFormat="1" ht="11.25" customHeight="1">
      <c r="B85" s="370" t="s">
        <v>232</v>
      </c>
      <c r="C85" s="957"/>
      <c r="D85" s="957"/>
      <c r="E85" s="957"/>
      <c r="F85" s="957"/>
      <c r="H85" s="367" t="s">
        <v>120</v>
      </c>
      <c r="I85" s="971"/>
      <c r="J85" s="971"/>
      <c r="K85" s="971"/>
      <c r="L85" s="971"/>
      <c r="M85" s="971"/>
      <c r="O85" s="367" t="s">
        <v>149</v>
      </c>
      <c r="P85" s="957"/>
      <c r="Q85" s="958"/>
      <c r="R85" s="958"/>
      <c r="S85" s="371"/>
      <c r="T85" s="348"/>
    </row>
    <row r="86" spans="2:20" s="344" customFormat="1" ht="11.25" customHeight="1">
      <c r="B86" s="721"/>
      <c r="C86" s="670"/>
      <c r="D86" s="323" t="s">
        <v>488</v>
      </c>
      <c r="E86" s="719"/>
      <c r="F86" s="670"/>
      <c r="H86" s="345" t="s">
        <v>489</v>
      </c>
      <c r="I86" s="719"/>
      <c r="J86" s="722"/>
      <c r="K86" s="722"/>
      <c r="L86" s="323" t="s">
        <v>490</v>
      </c>
      <c r="M86" s="719"/>
      <c r="O86" s="323" t="s">
        <v>491</v>
      </c>
      <c r="P86" s="960"/>
      <c r="Q86" s="960"/>
      <c r="R86" s="960"/>
      <c r="S86" s="322"/>
      <c r="T86" s="348"/>
    </row>
    <row r="87" spans="2:20" s="360" customFormat="1" ht="11.25" customHeight="1">
      <c r="B87" s="370" t="s">
        <v>233</v>
      </c>
      <c r="C87" s="970"/>
      <c r="D87" s="970"/>
      <c r="E87" s="372" t="s">
        <v>460</v>
      </c>
      <c r="F87" s="688">
        <f>IF(E91&gt;0,C87/E91,0)</f>
        <v>0</v>
      </c>
      <c r="G87" s="372" t="s">
        <v>461</v>
      </c>
      <c r="H87" s="688">
        <f>IF(O91&gt;0,C87/O91,0)</f>
        <v>0</v>
      </c>
      <c r="I87" s="367"/>
      <c r="J87" s="367" t="s">
        <v>150</v>
      </c>
      <c r="K87" s="978"/>
      <c r="L87" s="978"/>
      <c r="M87" s="367"/>
      <c r="O87" s="367" t="s">
        <v>193</v>
      </c>
      <c r="P87" s="957"/>
      <c r="Q87" s="957"/>
      <c r="R87" s="957"/>
      <c r="S87" s="322"/>
      <c r="T87" s="348"/>
    </row>
    <row r="88" spans="2:20" s="40" customFormat="1" ht="2.25" customHeight="1">
      <c r="B88" s="256"/>
      <c r="C88" s="210"/>
      <c r="D88" s="210"/>
      <c r="E88" s="243"/>
      <c r="F88" s="57"/>
      <c r="G88" s="212"/>
      <c r="H88" s="210"/>
      <c r="I88" s="57"/>
      <c r="J88" s="243"/>
      <c r="K88" s="210"/>
      <c r="L88" s="243"/>
      <c r="M88" s="243"/>
      <c r="N88" s="243"/>
      <c r="O88" s="243"/>
      <c r="P88" s="210"/>
      <c r="Q88" s="210"/>
      <c r="R88" s="210"/>
      <c r="S88" s="209"/>
      <c r="T88" s="180"/>
    </row>
    <row r="89" spans="2:20" s="40" customFormat="1" ht="10.5" customHeight="1">
      <c r="B89" s="802" t="s">
        <v>190</v>
      </c>
      <c r="C89" s="803" t="s">
        <v>191</v>
      </c>
      <c r="D89" s="804"/>
      <c r="E89" s="247" t="s">
        <v>185</v>
      </c>
      <c r="F89" s="247"/>
      <c r="G89" s="248"/>
      <c r="H89" s="249"/>
      <c r="I89" s="235"/>
      <c r="J89" s="249"/>
      <c r="K89" s="251" t="s">
        <v>186</v>
      </c>
      <c r="L89" s="55"/>
      <c r="M89" s="55"/>
      <c r="N89" s="249"/>
      <c r="O89" s="235"/>
      <c r="P89" s="249"/>
      <c r="Q89" s="249"/>
      <c r="R89" s="235"/>
      <c r="S89" s="250"/>
      <c r="T89" s="180"/>
    </row>
    <row r="90" spans="2:20" s="806" customFormat="1" ht="10.5" customHeight="1">
      <c r="B90" s="807" t="s">
        <v>189</v>
      </c>
      <c r="C90" s="808" t="s">
        <v>195</v>
      </c>
      <c r="D90" s="809"/>
      <c r="E90" s="979" t="s">
        <v>234</v>
      </c>
      <c r="F90" s="980"/>
      <c r="G90" s="981" t="s">
        <v>181</v>
      </c>
      <c r="H90" s="982"/>
      <c r="I90" s="981" t="s">
        <v>366</v>
      </c>
      <c r="J90" s="983"/>
      <c r="K90" s="807" t="s">
        <v>19</v>
      </c>
      <c r="L90" s="810" t="s">
        <v>187</v>
      </c>
      <c r="M90" s="810" t="s">
        <v>21</v>
      </c>
      <c r="N90" s="810" t="s">
        <v>23</v>
      </c>
      <c r="O90" s="811" t="s">
        <v>234</v>
      </c>
      <c r="P90" s="812"/>
      <c r="Q90" s="810" t="s">
        <v>188</v>
      </c>
      <c r="R90" s="813" t="s">
        <v>52</v>
      </c>
      <c r="S90" s="805"/>
      <c r="T90" s="329"/>
    </row>
    <row r="91" spans="2:20" s="105" customFormat="1" ht="12" customHeight="1">
      <c r="B91" s="259"/>
      <c r="C91" s="976"/>
      <c r="D91" s="977"/>
      <c r="E91" s="984"/>
      <c r="F91" s="985"/>
      <c r="G91" s="986"/>
      <c r="H91" s="987"/>
      <c r="I91" s="988"/>
      <c r="J91" s="989"/>
      <c r="K91" s="259"/>
      <c r="L91" s="768"/>
      <c r="M91" s="768"/>
      <c r="N91" s="768"/>
      <c r="O91" s="962"/>
      <c r="P91" s="963"/>
      <c r="Q91" s="768"/>
      <c r="R91" s="684"/>
      <c r="S91" s="74"/>
      <c r="T91" s="253"/>
    </row>
    <row r="92" spans="2:20" s="206" customFormat="1" ht="2.25" customHeight="1">
      <c r="B92" s="204"/>
      <c r="C92" s="246"/>
      <c r="D92" s="205"/>
      <c r="E92" s="215"/>
      <c r="F92" s="245"/>
      <c r="G92" s="158"/>
      <c r="H92" s="158"/>
      <c r="I92" s="244"/>
      <c r="J92" s="205"/>
      <c r="K92" s="246"/>
      <c r="L92" s="252"/>
      <c r="M92" s="252"/>
      <c r="N92" s="252"/>
      <c r="O92" s="244"/>
      <c r="P92" s="245"/>
      <c r="Q92" s="252"/>
      <c r="R92" s="215"/>
      <c r="S92" s="205"/>
      <c r="T92" s="213"/>
    </row>
    <row r="93" spans="2:20" ht="12.75">
      <c r="B93" s="207" t="s">
        <v>167</v>
      </c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9"/>
      <c r="T93" s="208"/>
    </row>
    <row r="94" spans="2:20" ht="10.5" customHeight="1">
      <c r="B94" s="125"/>
      <c r="C94" s="814" t="s">
        <v>97</v>
      </c>
      <c r="D94" s="815"/>
      <c r="E94" s="815"/>
      <c r="F94" s="815"/>
      <c r="G94" s="815"/>
      <c r="H94" s="814" t="s">
        <v>15</v>
      </c>
      <c r="I94" s="815"/>
      <c r="J94" s="815"/>
      <c r="K94" s="814" t="s">
        <v>102</v>
      </c>
      <c r="L94" s="815"/>
      <c r="M94" s="815"/>
      <c r="N94" s="814"/>
      <c r="O94" s="815"/>
      <c r="P94" s="815"/>
      <c r="Q94" s="816" t="s">
        <v>29</v>
      </c>
      <c r="R94" s="814" t="s">
        <v>173</v>
      </c>
      <c r="S94" s="218"/>
      <c r="T94" s="208"/>
    </row>
    <row r="95" spans="2:20" ht="48" customHeight="1">
      <c r="B95" s="312"/>
      <c r="C95" s="193" t="s">
        <v>71</v>
      </c>
      <c r="D95" s="194" t="s">
        <v>142</v>
      </c>
      <c r="E95" s="194" t="s">
        <v>143</v>
      </c>
      <c r="F95" s="194" t="s">
        <v>144</v>
      </c>
      <c r="G95" s="195" t="s">
        <v>98</v>
      </c>
      <c r="H95" s="193" t="s">
        <v>145</v>
      </c>
      <c r="I95" s="194" t="s">
        <v>166</v>
      </c>
      <c r="J95" s="195" t="s">
        <v>146</v>
      </c>
      <c r="K95" s="193" t="s">
        <v>118</v>
      </c>
      <c r="L95" s="194" t="s">
        <v>145</v>
      </c>
      <c r="M95" s="194" t="s">
        <v>266</v>
      </c>
      <c r="N95" s="194" t="s">
        <v>147</v>
      </c>
      <c r="O95" s="194" t="s">
        <v>99</v>
      </c>
      <c r="P95" s="195" t="s">
        <v>100</v>
      </c>
      <c r="Q95" s="282"/>
      <c r="R95" s="216"/>
      <c r="S95" s="219"/>
      <c r="T95" s="214"/>
    </row>
    <row r="96" spans="2:20" ht="12" customHeight="1">
      <c r="B96" s="800" t="s">
        <v>175</v>
      </c>
      <c r="C96" s="821"/>
      <c r="D96" s="822"/>
      <c r="E96" s="822"/>
      <c r="F96" s="822"/>
      <c r="G96" s="823"/>
      <c r="H96" s="821"/>
      <c r="I96" s="822"/>
      <c r="J96" s="823"/>
      <c r="K96" s="821"/>
      <c r="L96" s="822"/>
      <c r="M96" s="822"/>
      <c r="N96" s="822"/>
      <c r="O96" s="822"/>
      <c r="P96" s="823"/>
      <c r="Q96" s="824"/>
      <c r="R96" s="825"/>
      <c r="S96" s="220"/>
      <c r="T96" s="208"/>
    </row>
    <row r="97" spans="2:20" ht="12" customHeight="1">
      <c r="B97" s="800" t="s">
        <v>267</v>
      </c>
      <c r="C97" s="826"/>
      <c r="D97" s="827"/>
      <c r="E97" s="827"/>
      <c r="F97" s="827"/>
      <c r="G97" s="828"/>
      <c r="H97" s="826"/>
      <c r="I97" s="827"/>
      <c r="J97" s="828"/>
      <c r="K97" s="826"/>
      <c r="L97" s="827"/>
      <c r="M97" s="827"/>
      <c r="N97" s="827"/>
      <c r="O97" s="827"/>
      <c r="P97" s="828"/>
      <c r="Q97" s="829"/>
      <c r="R97" s="830">
        <f>SUM(B97:Q97)</f>
        <v>0</v>
      </c>
      <c r="S97" s="221"/>
      <c r="T97" s="208"/>
    </row>
    <row r="98" spans="2:20" ht="12" customHeight="1">
      <c r="B98" s="800" t="s">
        <v>101</v>
      </c>
      <c r="C98" s="817">
        <f aca="true" t="shared" si="12" ref="C98:Q98">IF(C97&gt;0,0,IF(C96="Inferior",0.025,IF(C96="Superior",-0.025,0)))</f>
        <v>0</v>
      </c>
      <c r="D98" s="818">
        <f t="shared" si="12"/>
        <v>0</v>
      </c>
      <c r="E98" s="818">
        <f t="shared" si="12"/>
        <v>0</v>
      </c>
      <c r="F98" s="818">
        <f t="shared" si="12"/>
        <v>0</v>
      </c>
      <c r="G98" s="831">
        <f t="shared" si="12"/>
        <v>0</v>
      </c>
      <c r="H98" s="817">
        <f t="shared" si="12"/>
        <v>0</v>
      </c>
      <c r="I98" s="818">
        <f t="shared" si="12"/>
        <v>0</v>
      </c>
      <c r="J98" s="831">
        <f t="shared" si="12"/>
        <v>0</v>
      </c>
      <c r="K98" s="817">
        <f t="shared" si="12"/>
        <v>0</v>
      </c>
      <c r="L98" s="818">
        <f t="shared" si="12"/>
        <v>0</v>
      </c>
      <c r="M98" s="818">
        <f t="shared" si="12"/>
        <v>0</v>
      </c>
      <c r="N98" s="818">
        <f t="shared" si="12"/>
        <v>0</v>
      </c>
      <c r="O98" s="818">
        <f t="shared" si="12"/>
        <v>0</v>
      </c>
      <c r="P98" s="831">
        <f t="shared" si="12"/>
        <v>0</v>
      </c>
      <c r="Q98" s="832">
        <f t="shared" si="12"/>
        <v>0</v>
      </c>
      <c r="R98" s="833"/>
      <c r="S98" s="222"/>
      <c r="T98" s="208"/>
    </row>
    <row r="99" spans="2:20" ht="12" customHeight="1">
      <c r="B99" s="800" t="s">
        <v>265</v>
      </c>
      <c r="C99" s="817">
        <f aca="true" t="shared" si="13" ref="C99:Q99">IF($C87=0,0,100%)</f>
        <v>0</v>
      </c>
      <c r="D99" s="818">
        <f t="shared" si="13"/>
        <v>0</v>
      </c>
      <c r="E99" s="818">
        <f t="shared" si="13"/>
        <v>0</v>
      </c>
      <c r="F99" s="818">
        <f t="shared" si="13"/>
        <v>0</v>
      </c>
      <c r="G99" s="831">
        <f t="shared" si="13"/>
        <v>0</v>
      </c>
      <c r="H99" s="817">
        <f t="shared" si="13"/>
        <v>0</v>
      </c>
      <c r="I99" s="818">
        <f t="shared" si="13"/>
        <v>0</v>
      </c>
      <c r="J99" s="831">
        <f t="shared" si="13"/>
        <v>0</v>
      </c>
      <c r="K99" s="817">
        <f t="shared" si="13"/>
        <v>0</v>
      </c>
      <c r="L99" s="818">
        <f t="shared" si="13"/>
        <v>0</v>
      </c>
      <c r="M99" s="818">
        <f t="shared" si="13"/>
        <v>0</v>
      </c>
      <c r="N99" s="818">
        <f t="shared" si="13"/>
        <v>0</v>
      </c>
      <c r="O99" s="818">
        <f t="shared" si="13"/>
        <v>0</v>
      </c>
      <c r="P99" s="831">
        <f t="shared" si="13"/>
        <v>0</v>
      </c>
      <c r="Q99" s="832">
        <f t="shared" si="13"/>
        <v>0</v>
      </c>
      <c r="R99" s="834">
        <f>PRODUCT(B99:Q99)</f>
        <v>0</v>
      </c>
      <c r="S99" s="222"/>
      <c r="T99" s="208"/>
    </row>
    <row r="100" spans="2:20" ht="12" customHeight="1">
      <c r="B100" s="801" t="s">
        <v>194</v>
      </c>
      <c r="C100" s="819">
        <f aca="true" t="shared" si="14" ref="C100:Q100">(1+C98)*C99</f>
        <v>0</v>
      </c>
      <c r="D100" s="820">
        <f t="shared" si="14"/>
        <v>0</v>
      </c>
      <c r="E100" s="820">
        <f t="shared" si="14"/>
        <v>0</v>
      </c>
      <c r="F100" s="820">
        <f t="shared" si="14"/>
        <v>0</v>
      </c>
      <c r="G100" s="835">
        <f t="shared" si="14"/>
        <v>0</v>
      </c>
      <c r="H100" s="819">
        <f t="shared" si="14"/>
        <v>0</v>
      </c>
      <c r="I100" s="820">
        <f t="shared" si="14"/>
        <v>0</v>
      </c>
      <c r="J100" s="835">
        <f t="shared" si="14"/>
        <v>0</v>
      </c>
      <c r="K100" s="819">
        <f t="shared" si="14"/>
        <v>0</v>
      </c>
      <c r="L100" s="820">
        <f t="shared" si="14"/>
        <v>0</v>
      </c>
      <c r="M100" s="820">
        <f t="shared" si="14"/>
        <v>0</v>
      </c>
      <c r="N100" s="820">
        <f t="shared" si="14"/>
        <v>0</v>
      </c>
      <c r="O100" s="820">
        <f t="shared" si="14"/>
        <v>0</v>
      </c>
      <c r="P100" s="835">
        <f t="shared" si="14"/>
        <v>0</v>
      </c>
      <c r="Q100" s="836">
        <f t="shared" si="14"/>
        <v>0</v>
      </c>
      <c r="R100" s="837">
        <f>IF(R99&gt;0,PRODUCT(B100:Q100)/R99,0)</f>
        <v>0</v>
      </c>
      <c r="S100" s="223"/>
      <c r="T100" s="208"/>
    </row>
    <row r="101" spans="2:20" ht="12.75" customHeight="1">
      <c r="B101" s="170" t="s">
        <v>192</v>
      </c>
      <c r="C101" s="911"/>
      <c r="D101" s="972"/>
      <c r="E101" s="972"/>
      <c r="F101" s="972"/>
      <c r="G101" s="972"/>
      <c r="H101" s="972"/>
      <c r="I101" s="972"/>
      <c r="J101" s="972"/>
      <c r="K101" s="972"/>
      <c r="L101" s="972"/>
      <c r="M101" s="973"/>
      <c r="N101" s="125"/>
      <c r="P101" s="362" t="s">
        <v>196</v>
      </c>
      <c r="Q101" s="966">
        <f>C87*R100+R97</f>
        <v>0</v>
      </c>
      <c r="R101" s="967"/>
      <c r="S101" s="217"/>
      <c r="T101" s="208"/>
    </row>
    <row r="102" spans="2:20" ht="12.75" customHeight="1">
      <c r="B102" s="171"/>
      <c r="C102" s="974"/>
      <c r="D102" s="974"/>
      <c r="E102" s="974"/>
      <c r="F102" s="974"/>
      <c r="G102" s="974"/>
      <c r="H102" s="974"/>
      <c r="I102" s="974"/>
      <c r="J102" s="974"/>
      <c r="K102" s="974"/>
      <c r="L102" s="974"/>
      <c r="M102" s="975"/>
      <c r="N102" s="211"/>
      <c r="O102" s="254"/>
      <c r="P102" s="373" t="s">
        <v>174</v>
      </c>
      <c r="Q102" s="968">
        <f>IF(OR(E91&gt;0,O91&gt;0),IF(O91&gt;0,Q101/O91,Q101/E91),0)</f>
        <v>0</v>
      </c>
      <c r="R102" s="969"/>
      <c r="S102" s="209"/>
      <c r="T102" s="208"/>
    </row>
    <row r="103" spans="2:20" s="49" customFormat="1" ht="13.5" customHeight="1">
      <c r="B103" s="701" t="s">
        <v>152</v>
      </c>
      <c r="C103" s="632"/>
      <c r="D103" s="632"/>
      <c r="E103" s="702">
        <f>E83+1</f>
        <v>6</v>
      </c>
      <c r="F103" s="702" t="s">
        <v>172</v>
      </c>
      <c r="G103" s="964"/>
      <c r="H103" s="964"/>
      <c r="I103" s="795"/>
      <c r="J103" s="703" t="s">
        <v>151</v>
      </c>
      <c r="K103" s="964"/>
      <c r="L103" s="964"/>
      <c r="M103" s="964"/>
      <c r="N103" s="964"/>
      <c r="O103" s="795"/>
      <c r="P103" s="703" t="s">
        <v>10</v>
      </c>
      <c r="Q103" s="964"/>
      <c r="R103" s="964"/>
      <c r="S103" s="965"/>
      <c r="T103" s="796"/>
    </row>
    <row r="104" spans="2:20" s="360" customFormat="1" ht="11.25" customHeight="1">
      <c r="B104" s="366" t="s">
        <v>148</v>
      </c>
      <c r="C104" s="959"/>
      <c r="D104" s="959"/>
      <c r="E104" s="959"/>
      <c r="F104" s="959"/>
      <c r="G104" s="959"/>
      <c r="H104" s="367" t="s">
        <v>5</v>
      </c>
      <c r="I104" s="959"/>
      <c r="J104" s="959"/>
      <c r="K104" s="959"/>
      <c r="L104" s="959"/>
      <c r="M104" s="959"/>
      <c r="O104" s="367" t="s">
        <v>130</v>
      </c>
      <c r="P104" s="990"/>
      <c r="Q104" s="990"/>
      <c r="R104" s="990"/>
      <c r="S104" s="368"/>
      <c r="T104" s="369"/>
    </row>
    <row r="105" spans="2:20" s="360" customFormat="1" ht="11.25" customHeight="1">
      <c r="B105" s="370" t="s">
        <v>232</v>
      </c>
      <c r="C105" s="957"/>
      <c r="D105" s="957"/>
      <c r="E105" s="957"/>
      <c r="F105" s="957"/>
      <c r="H105" s="367" t="s">
        <v>120</v>
      </c>
      <c r="I105" s="971"/>
      <c r="J105" s="971"/>
      <c r="K105" s="971"/>
      <c r="L105" s="971"/>
      <c r="M105" s="971"/>
      <c r="O105" s="367" t="s">
        <v>149</v>
      </c>
      <c r="P105" s="957"/>
      <c r="Q105" s="958"/>
      <c r="R105" s="958"/>
      <c r="S105" s="371"/>
      <c r="T105" s="348"/>
    </row>
    <row r="106" spans="2:20" s="344" customFormat="1" ht="11.25" customHeight="1">
      <c r="B106" s="721"/>
      <c r="C106" s="670"/>
      <c r="D106" s="323" t="s">
        <v>488</v>
      </c>
      <c r="E106" s="719"/>
      <c r="F106" s="670"/>
      <c r="H106" s="345" t="s">
        <v>489</v>
      </c>
      <c r="I106" s="719"/>
      <c r="J106" s="722"/>
      <c r="K106" s="722"/>
      <c r="L106" s="323" t="s">
        <v>490</v>
      </c>
      <c r="M106" s="719"/>
      <c r="O106" s="323" t="s">
        <v>491</v>
      </c>
      <c r="P106" s="960"/>
      <c r="Q106" s="960"/>
      <c r="R106" s="960"/>
      <c r="S106" s="322"/>
      <c r="T106" s="348"/>
    </row>
    <row r="107" spans="2:20" s="360" customFormat="1" ht="11.25" customHeight="1">
      <c r="B107" s="370" t="s">
        <v>233</v>
      </c>
      <c r="C107" s="970"/>
      <c r="D107" s="970"/>
      <c r="E107" s="372" t="s">
        <v>460</v>
      </c>
      <c r="F107" s="688">
        <f>IF(E111&gt;0,C107/E111,0)</f>
        <v>0</v>
      </c>
      <c r="G107" s="372" t="s">
        <v>461</v>
      </c>
      <c r="H107" s="688">
        <f>IF(O111&gt;0,C107/O111,0)</f>
        <v>0</v>
      </c>
      <c r="I107" s="367"/>
      <c r="J107" s="367" t="s">
        <v>150</v>
      </c>
      <c r="K107" s="978"/>
      <c r="L107" s="978"/>
      <c r="M107" s="367"/>
      <c r="O107" s="367" t="s">
        <v>193</v>
      </c>
      <c r="P107" s="957"/>
      <c r="Q107" s="957"/>
      <c r="R107" s="957"/>
      <c r="S107" s="322"/>
      <c r="T107" s="348"/>
    </row>
    <row r="108" spans="2:20" s="40" customFormat="1" ht="2.25" customHeight="1">
      <c r="B108" s="256"/>
      <c r="C108" s="210"/>
      <c r="D108" s="210"/>
      <c r="E108" s="243"/>
      <c r="F108" s="57"/>
      <c r="G108" s="212"/>
      <c r="H108" s="210"/>
      <c r="I108" s="57"/>
      <c r="J108" s="243"/>
      <c r="K108" s="210"/>
      <c r="L108" s="243"/>
      <c r="M108" s="243"/>
      <c r="N108" s="243"/>
      <c r="O108" s="243"/>
      <c r="P108" s="210"/>
      <c r="Q108" s="210"/>
      <c r="R108" s="210"/>
      <c r="S108" s="209"/>
      <c r="T108" s="180"/>
    </row>
    <row r="109" spans="2:20" s="40" customFormat="1" ht="10.5" customHeight="1">
      <c r="B109" s="802" t="s">
        <v>190</v>
      </c>
      <c r="C109" s="803" t="s">
        <v>191</v>
      </c>
      <c r="D109" s="804"/>
      <c r="E109" s="247" t="s">
        <v>185</v>
      </c>
      <c r="F109" s="247"/>
      <c r="G109" s="248"/>
      <c r="H109" s="249"/>
      <c r="I109" s="235"/>
      <c r="J109" s="249"/>
      <c r="K109" s="251" t="s">
        <v>186</v>
      </c>
      <c r="L109" s="55"/>
      <c r="M109" s="55"/>
      <c r="N109" s="249"/>
      <c r="O109" s="235"/>
      <c r="P109" s="249"/>
      <c r="Q109" s="249"/>
      <c r="R109" s="235"/>
      <c r="S109" s="250"/>
      <c r="T109" s="180"/>
    </row>
    <row r="110" spans="2:20" s="806" customFormat="1" ht="10.5" customHeight="1">
      <c r="B110" s="807" t="s">
        <v>189</v>
      </c>
      <c r="C110" s="808" t="s">
        <v>195</v>
      </c>
      <c r="D110" s="809"/>
      <c r="E110" s="979" t="s">
        <v>234</v>
      </c>
      <c r="F110" s="980"/>
      <c r="G110" s="981" t="s">
        <v>181</v>
      </c>
      <c r="H110" s="982"/>
      <c r="I110" s="981" t="s">
        <v>366</v>
      </c>
      <c r="J110" s="983"/>
      <c r="K110" s="807" t="s">
        <v>19</v>
      </c>
      <c r="L110" s="810" t="s">
        <v>187</v>
      </c>
      <c r="M110" s="810" t="s">
        <v>21</v>
      </c>
      <c r="N110" s="810" t="s">
        <v>23</v>
      </c>
      <c r="O110" s="811" t="s">
        <v>234</v>
      </c>
      <c r="P110" s="812"/>
      <c r="Q110" s="810" t="s">
        <v>188</v>
      </c>
      <c r="R110" s="813" t="s">
        <v>52</v>
      </c>
      <c r="S110" s="805"/>
      <c r="T110" s="329"/>
    </row>
    <row r="111" spans="2:20" s="105" customFormat="1" ht="12" customHeight="1">
      <c r="B111" s="259"/>
      <c r="C111" s="976"/>
      <c r="D111" s="977"/>
      <c r="E111" s="984"/>
      <c r="F111" s="985"/>
      <c r="G111" s="986"/>
      <c r="H111" s="987"/>
      <c r="I111" s="988"/>
      <c r="J111" s="989"/>
      <c r="K111" s="259"/>
      <c r="L111" s="768"/>
      <c r="M111" s="768"/>
      <c r="N111" s="768"/>
      <c r="O111" s="962"/>
      <c r="P111" s="963"/>
      <c r="Q111" s="768"/>
      <c r="R111" s="684"/>
      <c r="S111" s="74"/>
      <c r="T111" s="253"/>
    </row>
    <row r="112" spans="2:20" s="206" customFormat="1" ht="2.25" customHeight="1">
      <c r="B112" s="204"/>
      <c r="C112" s="246"/>
      <c r="D112" s="205"/>
      <c r="E112" s="215"/>
      <c r="F112" s="245"/>
      <c r="G112" s="158"/>
      <c r="H112" s="158"/>
      <c r="I112" s="244"/>
      <c r="J112" s="205"/>
      <c r="K112" s="246"/>
      <c r="L112" s="252"/>
      <c r="M112" s="252"/>
      <c r="N112" s="252"/>
      <c r="O112" s="244"/>
      <c r="P112" s="245"/>
      <c r="Q112" s="252"/>
      <c r="R112" s="215"/>
      <c r="S112" s="205"/>
      <c r="T112" s="213"/>
    </row>
    <row r="113" spans="2:20" ht="12.75">
      <c r="B113" s="207" t="s">
        <v>167</v>
      </c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9"/>
      <c r="T113" s="208"/>
    </row>
    <row r="114" spans="2:20" ht="10.5" customHeight="1">
      <c r="B114" s="125"/>
      <c r="C114" s="814" t="s">
        <v>97</v>
      </c>
      <c r="D114" s="815"/>
      <c r="E114" s="815"/>
      <c r="F114" s="815"/>
      <c r="G114" s="815"/>
      <c r="H114" s="814" t="s">
        <v>15</v>
      </c>
      <c r="I114" s="815"/>
      <c r="J114" s="815"/>
      <c r="K114" s="814" t="s">
        <v>102</v>
      </c>
      <c r="L114" s="815"/>
      <c r="M114" s="815"/>
      <c r="N114" s="814"/>
      <c r="O114" s="815"/>
      <c r="P114" s="815"/>
      <c r="Q114" s="816" t="s">
        <v>29</v>
      </c>
      <c r="R114" s="814" t="s">
        <v>173</v>
      </c>
      <c r="S114" s="218"/>
      <c r="T114" s="208"/>
    </row>
    <row r="115" spans="2:20" ht="48" customHeight="1">
      <c r="B115" s="312"/>
      <c r="C115" s="193" t="s">
        <v>71</v>
      </c>
      <c r="D115" s="194" t="s">
        <v>142</v>
      </c>
      <c r="E115" s="194" t="s">
        <v>143</v>
      </c>
      <c r="F115" s="194" t="s">
        <v>144</v>
      </c>
      <c r="G115" s="195" t="s">
        <v>98</v>
      </c>
      <c r="H115" s="193" t="s">
        <v>145</v>
      </c>
      <c r="I115" s="194" t="s">
        <v>166</v>
      </c>
      <c r="J115" s="195" t="s">
        <v>146</v>
      </c>
      <c r="K115" s="193" t="s">
        <v>118</v>
      </c>
      <c r="L115" s="194" t="s">
        <v>145</v>
      </c>
      <c r="M115" s="194" t="s">
        <v>266</v>
      </c>
      <c r="N115" s="194" t="s">
        <v>147</v>
      </c>
      <c r="O115" s="194" t="s">
        <v>99</v>
      </c>
      <c r="P115" s="195" t="s">
        <v>100</v>
      </c>
      <c r="Q115" s="282"/>
      <c r="R115" s="216"/>
      <c r="S115" s="219"/>
      <c r="T115" s="214"/>
    </row>
    <row r="116" spans="2:20" ht="12" customHeight="1">
      <c r="B116" s="800" t="s">
        <v>175</v>
      </c>
      <c r="C116" s="821"/>
      <c r="D116" s="822"/>
      <c r="E116" s="822"/>
      <c r="F116" s="822"/>
      <c r="G116" s="823"/>
      <c r="H116" s="821"/>
      <c r="I116" s="822"/>
      <c r="J116" s="823"/>
      <c r="K116" s="821"/>
      <c r="L116" s="822"/>
      <c r="M116" s="822"/>
      <c r="N116" s="822"/>
      <c r="O116" s="822"/>
      <c r="P116" s="823"/>
      <c r="Q116" s="824"/>
      <c r="R116" s="825"/>
      <c r="S116" s="220"/>
      <c r="T116" s="208"/>
    </row>
    <row r="117" spans="2:20" ht="12" customHeight="1">
      <c r="B117" s="800" t="s">
        <v>267</v>
      </c>
      <c r="C117" s="826"/>
      <c r="D117" s="827"/>
      <c r="E117" s="827"/>
      <c r="F117" s="827"/>
      <c r="G117" s="828"/>
      <c r="H117" s="826"/>
      <c r="I117" s="827"/>
      <c r="J117" s="828"/>
      <c r="K117" s="826"/>
      <c r="L117" s="827"/>
      <c r="M117" s="827"/>
      <c r="N117" s="827"/>
      <c r="O117" s="827"/>
      <c r="P117" s="828"/>
      <c r="Q117" s="829"/>
      <c r="R117" s="830">
        <f>SUM(B117:Q117)</f>
        <v>0</v>
      </c>
      <c r="S117" s="221"/>
      <c r="T117" s="208"/>
    </row>
    <row r="118" spans="2:20" ht="12" customHeight="1">
      <c r="B118" s="800" t="s">
        <v>101</v>
      </c>
      <c r="C118" s="817">
        <f aca="true" t="shared" si="15" ref="C118:Q118">IF(C117&gt;0,0,IF(C116="Inferior",0.025,IF(C116="Superior",-0.025,0)))</f>
        <v>0</v>
      </c>
      <c r="D118" s="818">
        <f t="shared" si="15"/>
        <v>0</v>
      </c>
      <c r="E118" s="818">
        <f t="shared" si="15"/>
        <v>0</v>
      </c>
      <c r="F118" s="818">
        <f t="shared" si="15"/>
        <v>0</v>
      </c>
      <c r="G118" s="831">
        <f t="shared" si="15"/>
        <v>0</v>
      </c>
      <c r="H118" s="817">
        <f t="shared" si="15"/>
        <v>0</v>
      </c>
      <c r="I118" s="818">
        <f t="shared" si="15"/>
        <v>0</v>
      </c>
      <c r="J118" s="831">
        <f t="shared" si="15"/>
        <v>0</v>
      </c>
      <c r="K118" s="817">
        <f t="shared" si="15"/>
        <v>0</v>
      </c>
      <c r="L118" s="818">
        <f t="shared" si="15"/>
        <v>0</v>
      </c>
      <c r="M118" s="818">
        <f t="shared" si="15"/>
        <v>0</v>
      </c>
      <c r="N118" s="818">
        <f t="shared" si="15"/>
        <v>0</v>
      </c>
      <c r="O118" s="818">
        <f t="shared" si="15"/>
        <v>0</v>
      </c>
      <c r="P118" s="831">
        <f t="shared" si="15"/>
        <v>0</v>
      </c>
      <c r="Q118" s="832">
        <f t="shared" si="15"/>
        <v>0</v>
      </c>
      <c r="R118" s="833"/>
      <c r="S118" s="222"/>
      <c r="T118" s="208"/>
    </row>
    <row r="119" spans="2:20" ht="12" customHeight="1">
      <c r="B119" s="800" t="s">
        <v>265</v>
      </c>
      <c r="C119" s="817">
        <f aca="true" t="shared" si="16" ref="C119:Q119">IF($C107=0,0,100%)</f>
        <v>0</v>
      </c>
      <c r="D119" s="818">
        <f t="shared" si="16"/>
        <v>0</v>
      </c>
      <c r="E119" s="818">
        <f t="shared" si="16"/>
        <v>0</v>
      </c>
      <c r="F119" s="818">
        <f t="shared" si="16"/>
        <v>0</v>
      </c>
      <c r="G119" s="831">
        <f t="shared" si="16"/>
        <v>0</v>
      </c>
      <c r="H119" s="817">
        <f t="shared" si="16"/>
        <v>0</v>
      </c>
      <c r="I119" s="818">
        <f t="shared" si="16"/>
        <v>0</v>
      </c>
      <c r="J119" s="831">
        <f t="shared" si="16"/>
        <v>0</v>
      </c>
      <c r="K119" s="817">
        <f t="shared" si="16"/>
        <v>0</v>
      </c>
      <c r="L119" s="818">
        <f t="shared" si="16"/>
        <v>0</v>
      </c>
      <c r="M119" s="818">
        <f t="shared" si="16"/>
        <v>0</v>
      </c>
      <c r="N119" s="818">
        <f t="shared" si="16"/>
        <v>0</v>
      </c>
      <c r="O119" s="818">
        <f t="shared" si="16"/>
        <v>0</v>
      </c>
      <c r="P119" s="831">
        <f t="shared" si="16"/>
        <v>0</v>
      </c>
      <c r="Q119" s="832">
        <f t="shared" si="16"/>
        <v>0</v>
      </c>
      <c r="R119" s="834">
        <f>PRODUCT(B119:Q119)</f>
        <v>0</v>
      </c>
      <c r="S119" s="222"/>
      <c r="T119" s="208"/>
    </row>
    <row r="120" spans="2:20" ht="12" customHeight="1">
      <c r="B120" s="801" t="s">
        <v>194</v>
      </c>
      <c r="C120" s="819">
        <f aca="true" t="shared" si="17" ref="C120:Q120">(1+C118)*C119</f>
        <v>0</v>
      </c>
      <c r="D120" s="820">
        <f t="shared" si="17"/>
        <v>0</v>
      </c>
      <c r="E120" s="820">
        <f t="shared" si="17"/>
        <v>0</v>
      </c>
      <c r="F120" s="820">
        <f t="shared" si="17"/>
        <v>0</v>
      </c>
      <c r="G120" s="835">
        <f t="shared" si="17"/>
        <v>0</v>
      </c>
      <c r="H120" s="819">
        <f t="shared" si="17"/>
        <v>0</v>
      </c>
      <c r="I120" s="820">
        <f t="shared" si="17"/>
        <v>0</v>
      </c>
      <c r="J120" s="835">
        <f t="shared" si="17"/>
        <v>0</v>
      </c>
      <c r="K120" s="819">
        <f t="shared" si="17"/>
        <v>0</v>
      </c>
      <c r="L120" s="820">
        <f t="shared" si="17"/>
        <v>0</v>
      </c>
      <c r="M120" s="820">
        <f t="shared" si="17"/>
        <v>0</v>
      </c>
      <c r="N120" s="820">
        <f t="shared" si="17"/>
        <v>0</v>
      </c>
      <c r="O120" s="820">
        <f t="shared" si="17"/>
        <v>0</v>
      </c>
      <c r="P120" s="835">
        <f t="shared" si="17"/>
        <v>0</v>
      </c>
      <c r="Q120" s="836">
        <f t="shared" si="17"/>
        <v>0</v>
      </c>
      <c r="R120" s="837">
        <f>IF(R119&gt;0,PRODUCT(B120:Q120)/R119,0)</f>
        <v>0</v>
      </c>
      <c r="S120" s="223"/>
      <c r="T120" s="208"/>
    </row>
    <row r="121" spans="2:20" ht="12.75" customHeight="1">
      <c r="B121" s="170" t="s">
        <v>192</v>
      </c>
      <c r="C121" s="911"/>
      <c r="D121" s="972"/>
      <c r="E121" s="972"/>
      <c r="F121" s="972"/>
      <c r="G121" s="972"/>
      <c r="H121" s="972"/>
      <c r="I121" s="972"/>
      <c r="J121" s="972"/>
      <c r="K121" s="972"/>
      <c r="L121" s="972"/>
      <c r="M121" s="973"/>
      <c r="N121" s="125"/>
      <c r="P121" s="362" t="s">
        <v>196</v>
      </c>
      <c r="Q121" s="966">
        <f>C107*R120+R117</f>
        <v>0</v>
      </c>
      <c r="R121" s="967"/>
      <c r="S121" s="217"/>
      <c r="T121" s="208"/>
    </row>
    <row r="122" spans="1:20" ht="12.75" customHeight="1">
      <c r="A122">
        <v>1</v>
      </c>
      <c r="B122" s="171"/>
      <c r="C122" s="974"/>
      <c r="D122" s="974"/>
      <c r="E122" s="974"/>
      <c r="F122" s="974"/>
      <c r="G122" s="974"/>
      <c r="H122" s="974"/>
      <c r="I122" s="974"/>
      <c r="J122" s="974"/>
      <c r="K122" s="974"/>
      <c r="L122" s="974"/>
      <c r="M122" s="975"/>
      <c r="N122" s="211"/>
      <c r="O122" s="254"/>
      <c r="P122" s="373" t="s">
        <v>174</v>
      </c>
      <c r="Q122" s="968">
        <f>IF(OR(E111&gt;0,O111&gt;0),IF(O111&gt;0,Q121/O111,Q121/E111),0)</f>
        <v>0</v>
      </c>
      <c r="R122" s="969"/>
      <c r="S122" s="209"/>
      <c r="T122" s="208"/>
    </row>
    <row r="124" ht="12.75"/>
    <row r="125" ht="12.75"/>
  </sheetData>
  <sheetProtection password="CC3D" sheet="1" objects="1" scenarios="1"/>
  <mergeCells count="145">
    <mergeCell ref="P27:R27"/>
    <mergeCell ref="P24:R24"/>
    <mergeCell ref="P25:R25"/>
    <mergeCell ref="Q23:S23"/>
    <mergeCell ref="O111:P111"/>
    <mergeCell ref="C121:M122"/>
    <mergeCell ref="Q121:R121"/>
    <mergeCell ref="Q122:R122"/>
    <mergeCell ref="C111:D111"/>
    <mergeCell ref="E111:F111"/>
    <mergeCell ref="G111:H111"/>
    <mergeCell ref="I111:J111"/>
    <mergeCell ref="C107:D107"/>
    <mergeCell ref="K107:L107"/>
    <mergeCell ref="P106:R106"/>
    <mergeCell ref="E110:F110"/>
    <mergeCell ref="G110:H110"/>
    <mergeCell ref="I110:J110"/>
    <mergeCell ref="P107:R107"/>
    <mergeCell ref="C61:M62"/>
    <mergeCell ref="C105:F105"/>
    <mergeCell ref="I105:M105"/>
    <mergeCell ref="P105:R105"/>
    <mergeCell ref="P66:R66"/>
    <mergeCell ref="Q61:R61"/>
    <mergeCell ref="C104:G104"/>
    <mergeCell ref="I104:M104"/>
    <mergeCell ref="P104:R104"/>
    <mergeCell ref="I65:M65"/>
    <mergeCell ref="P65:R65"/>
    <mergeCell ref="K67:L67"/>
    <mergeCell ref="Q3:S3"/>
    <mergeCell ref="I5:M5"/>
    <mergeCell ref="Q62:R62"/>
    <mergeCell ref="K43:N43"/>
    <mergeCell ref="K27:L27"/>
    <mergeCell ref="P26:R26"/>
    <mergeCell ref="P46:R46"/>
    <mergeCell ref="I24:M24"/>
    <mergeCell ref="P7:R7"/>
    <mergeCell ref="Q21:R21"/>
    <mergeCell ref="Q22:R22"/>
    <mergeCell ref="O11:P11"/>
    <mergeCell ref="K47:L47"/>
    <mergeCell ref="P4:R4"/>
    <mergeCell ref="I4:M4"/>
    <mergeCell ref="P6:R6"/>
    <mergeCell ref="K7:L7"/>
    <mergeCell ref="P44:R44"/>
    <mergeCell ref="Q41:R41"/>
    <mergeCell ref="Q42:R42"/>
    <mergeCell ref="C21:M22"/>
    <mergeCell ref="E11:F11"/>
    <mergeCell ref="K3:N3"/>
    <mergeCell ref="K23:N23"/>
    <mergeCell ref="C5:F5"/>
    <mergeCell ref="G10:H10"/>
    <mergeCell ref="I10:J10"/>
    <mergeCell ref="E10:F10"/>
    <mergeCell ref="C7:D7"/>
    <mergeCell ref="C11:D11"/>
    <mergeCell ref="I11:J11"/>
    <mergeCell ref="G23:H23"/>
    <mergeCell ref="C27:D27"/>
    <mergeCell ref="E30:F30"/>
    <mergeCell ref="G3:H3"/>
    <mergeCell ref="C4:G4"/>
    <mergeCell ref="G11:H11"/>
    <mergeCell ref="C24:G24"/>
    <mergeCell ref="C25:F25"/>
    <mergeCell ref="I25:M25"/>
    <mergeCell ref="C45:F45"/>
    <mergeCell ref="P45:R45"/>
    <mergeCell ref="I45:M45"/>
    <mergeCell ref="Q43:S43"/>
    <mergeCell ref="G30:H30"/>
    <mergeCell ref="I30:J30"/>
    <mergeCell ref="C44:G44"/>
    <mergeCell ref="C31:D31"/>
    <mergeCell ref="E31:F31"/>
    <mergeCell ref="C41:M42"/>
    <mergeCell ref="I44:M44"/>
    <mergeCell ref="G43:H43"/>
    <mergeCell ref="G31:H31"/>
    <mergeCell ref="I31:J31"/>
    <mergeCell ref="C47:D47"/>
    <mergeCell ref="E50:F50"/>
    <mergeCell ref="G50:H50"/>
    <mergeCell ref="I50:J50"/>
    <mergeCell ref="C51:D51"/>
    <mergeCell ref="E51:F51"/>
    <mergeCell ref="G51:H51"/>
    <mergeCell ref="I51:J51"/>
    <mergeCell ref="G103:H103"/>
    <mergeCell ref="K103:N103"/>
    <mergeCell ref="Q103:S103"/>
    <mergeCell ref="E70:F70"/>
    <mergeCell ref="G70:H70"/>
    <mergeCell ref="I70:J70"/>
    <mergeCell ref="E71:F71"/>
    <mergeCell ref="G71:H71"/>
    <mergeCell ref="C84:G84"/>
    <mergeCell ref="P84:R84"/>
    <mergeCell ref="G63:H63"/>
    <mergeCell ref="K63:N63"/>
    <mergeCell ref="Q63:S63"/>
    <mergeCell ref="C64:G64"/>
    <mergeCell ref="P64:R64"/>
    <mergeCell ref="I64:M64"/>
    <mergeCell ref="C65:F65"/>
    <mergeCell ref="G83:H83"/>
    <mergeCell ref="K83:N83"/>
    <mergeCell ref="I71:J71"/>
    <mergeCell ref="C81:M82"/>
    <mergeCell ref="C67:D67"/>
    <mergeCell ref="C71:D71"/>
    <mergeCell ref="Q101:R101"/>
    <mergeCell ref="Q102:R102"/>
    <mergeCell ref="E90:F90"/>
    <mergeCell ref="G90:H90"/>
    <mergeCell ref="I90:J90"/>
    <mergeCell ref="E91:F91"/>
    <mergeCell ref="G91:H91"/>
    <mergeCell ref="I91:J91"/>
    <mergeCell ref="O91:P91"/>
    <mergeCell ref="C85:F85"/>
    <mergeCell ref="C87:D87"/>
    <mergeCell ref="I85:M85"/>
    <mergeCell ref="C101:M102"/>
    <mergeCell ref="C91:D91"/>
    <mergeCell ref="K87:L87"/>
    <mergeCell ref="P87:R87"/>
    <mergeCell ref="P1:R1"/>
    <mergeCell ref="P47:R47"/>
    <mergeCell ref="O51:P51"/>
    <mergeCell ref="O71:P71"/>
    <mergeCell ref="Q83:S83"/>
    <mergeCell ref="Q81:R81"/>
    <mergeCell ref="Q82:R82"/>
    <mergeCell ref="P5:R5"/>
    <mergeCell ref="O31:P31"/>
    <mergeCell ref="P85:R85"/>
    <mergeCell ref="P67:R67"/>
    <mergeCell ref="I84:M84"/>
    <mergeCell ref="P86:R86"/>
  </mergeCells>
  <conditionalFormatting sqref="D99:Q99 D19:Q19 D59:Q59 D79:Q79 D39:Q39 D119:Q119">
    <cfRule type="expression" priority="1" dxfId="6" stopIfTrue="1">
      <formula>D16=0</formula>
    </cfRule>
  </conditionalFormatting>
  <conditionalFormatting sqref="C20:Q20 C100:Q100 C40:Q40 C80:Q80 C60:Q60 C120:Q120">
    <cfRule type="expression" priority="2" dxfId="6" stopIfTrue="1">
      <formula>C16=0</formula>
    </cfRule>
  </conditionalFormatting>
  <conditionalFormatting sqref="K7:L7 C4:M4 K87:L87 C84:M84 I5:M5 O4:R4 K47:L47 K67:L67 C44:M44 C64:M64 I65:M65 I85:M85 K27:L27 C24:M24 O64:R64 O84:R84 I25:M25 O24:R24 C27:D27 P25:R27 C87:D87 C25:F25 I45:M45 C7:D7 O44:R44 C47:D47 C67:D67 P85:R87 P65:R67 C85:F85 P45:R47 E86 P5:R7 E26 C5:F5 E6 I6 M6 C65:F65 E66 I26 I86 M86 C45:F45 M26 I66 E46 I46 M46 M66 K107:L107 C104:M104 I105:M105 O104:R104 C107:D107 P105:R107 C105:F105 E106 I106 M106">
    <cfRule type="cellIs" priority="3" dxfId="0" operator="equal" stopIfTrue="1">
      <formula>0</formula>
    </cfRule>
  </conditionalFormatting>
  <conditionalFormatting sqref="C19 C39 C59 C79 C99 C119">
    <cfRule type="expression" priority="4" dxfId="6" stopIfTrue="1">
      <formula>C16=0</formula>
    </cfRule>
  </conditionalFormatting>
  <dataValidations count="20">
    <dataValidation type="list" allowBlank="1" showErrorMessage="1" errorTitle="Tipo de Bien" error="Tipo erróneo" sqref="C4 C44 C64 C24 C84 C104">
      <formula1>"PROYECTO EN CONSTRUCCION,CASA,DEPARTAMENTO,PARCELA AGRADO,OFICINA,SITIO URBANO,LOCAL COMERCIAL,ESTACIONAMIENTO,BODEGA,CONSTRUC. INDUSTRIAL O SIMILAR,EDIFICIO,BIEN RAIZ RURAL,OTRO"</formula1>
    </dataValidation>
    <dataValidation type="list" allowBlank="1" showInputMessage="1" showErrorMessage="1" sqref="I4 I44 I64 I24 I84 I104">
      <formula1>"SIN USO,HABITACION,COMERCIO,OFICINA,SERVICIOS,INDUSTRIA,ESTACIONAMIENTO,TRANSPORTE,COMUNICACIONES,ALMACENAJE Y BODEGA ,DEPORTES Y RECREACION,EDUCACION Y CULTURA,SALUD,AGRICOLA,PESCA,MINERIA"</formula1>
    </dataValidation>
    <dataValidation type="list" allowBlank="1" showInputMessage="1" showErrorMessage="1" sqref="P4 P44 P64 P24 P84 P104">
      <formula1>"INDIVIDUAL AISLADA,INDIVIDUAL PAREADA,CONJUNTO,CONDOMINIO,EDIFICIO AISLADO,EDIFICIO CONTINUO,MULTIBLOCK"</formula1>
    </dataValidation>
    <dataValidation type="list" allowBlank="1" showInputMessage="1" showErrorMessage="1" sqref="B11 B51 B71 B31 B91 B111">
      <formula1>"INFERIOR,EQUIVALENTE,SUPERIOR"</formula1>
    </dataValidation>
    <dataValidation type="list" allowBlank="1" sqref="G11 G51 G71 G31 G91 G111">
      <formula1>"REGULAR,CASI REGULAR,IRREGULAR,MUY IRREGULAR"</formula1>
    </dataValidation>
    <dataValidation type="list" allowBlank="1" showInputMessage="1" showErrorMessage="1" sqref="I11 I51 I71 I31 I91 I111">
      <formula1>"PLANO,SUAVE,ABRUPTA,COMBINADA"</formula1>
    </dataValidation>
    <dataValidation type="whole" allowBlank="1" showInputMessage="1" showErrorMessage="1" promptTitle="Calidad Edificación" prompt="1 SUPERIOR&#10;2 BUENA&#10;3 CORRIENTE&#10;4 REGULAR&#10;5 INFERIOR&#10;6 DEFICIENTE" errorTitle="Calidad Edificación" error="Valor debe estar entre 1 y 5" sqref="L11 L51 L71 L31 L91 L111">
      <formula1>1</formula1>
      <formula2>6</formula2>
    </dataValidation>
    <dataValidation type="list" allowBlank="1" showInputMessage="1" showErrorMessage="1" promptTitle="Clase Estructural" prompt=" " errorTitle="Clase de Edificación" error="Código Erróneo&#10;&#10;Vea los códigos válidos en la hoja &quot;Datos&quot;" sqref="K11 K51 K71 K31 K91 K111">
      <formula1>"A,B,C,Ca,D,E,Ea,F,G,H,I"</formula1>
    </dataValidation>
    <dataValidation type="whole" allowBlank="1" showInputMessage="1" showErrorMessage="1" promptTitle="Año" prompt="Indique Año de Construccion ESTIMADO" errorTitle="Año Edificación" error="Año Erróneo" sqref="N11 N51 N71 N31 N91 N111">
      <formula1>1500</formula1>
      <formula2>2020</formula2>
    </dataValidation>
    <dataValidation type="list" allowBlank="1" showInputMessage="1" showErrorMessage="1" promptTitle="Estado de Conservación" prompt="NUE  Nuevo&#10;BUE  Bueno&#10;SAT  Satisfactorio&#10;DEF  Deficiente&#10;MAL  Malo&#10;E/C  En construcción&#10;INC  Inconcluso" errorTitle="Estado de Conservación" error="Código Erróneo&#10;&#10;Vea los códigos válidos en la hoja &quot;Datos&quot;" sqref="M11 M51 M71 M31 M91 M111">
      <formula1>"NUE,BUE,SAT,DEF,MAL,E/C,INC"</formula1>
    </dataValidation>
    <dataValidation allowBlank="1" showInputMessage="1" showErrorMessage="1" promptTitle="Cantidad Recintos" prompt="Indique el Número de recintos de este tipo" sqref="Q11:R11 Q51:R51 Q71:R71 Q31:R31 Q91:R91 Q111:R111"/>
    <dataValidation allowBlank="1" showInputMessage="1" promptTitle="Hoja de largo ilimitado" prompt="Puede agregar más comparables presionando el botón ubicado en la parte inferior de esta hoja.&#10; &#10;Use la tecla TABULACION para desplazarse en el Formulario" sqref="A1"/>
    <dataValidation type="list" allowBlank="1" sqref="C85:F85 C45:F45 C5:F5 C25:F25 C65:F65 C105:F105">
      <formula1>"COMPRAVENTA,PROMESA COMPRAVENTA,OFERTA COMPROBADA,OFERTA SIN COMPROBAR,REMATE,TASACIÓN,PERITAJE EXPROPIACION,PRESUP./PROPUESTA,OTRO"</formula1>
    </dataValidation>
    <dataValidation allowBlank="1" showInputMessage="1" showErrorMessage="1" promptTitle="Aporte de Valor" prompt="Valor estimado (+ ó -) de cada atributo o característica específica posible de medir por separado" sqref="Q17 Q37 Q57 Q77 Q97 Q117"/>
    <dataValidation allowBlank="1" showInputMessage="1" showErrorMessage="1" promptTitle="Ponderación de la característica" prompt="Mayor o menor influencia del atributo o característica en el valor de la propiedad" sqref="C19:Q19 C39:Q39 C59:Q59 C79:Q79 C99:Q99 C119:Q119"/>
    <dataValidation type="list" allowBlank="1" showInputMessage="1" showErrorMessage="1" promptTitle="Evaluación cualitativa" prompt="Evaluación de las diferencias entre cada atributo y el correspondiente de la propiedad a tasar." sqref="C16:Q16 C36:Q36 C56:Q56 C76:Q76 C96:Q96 C116:Q116">
      <formula1>"Inferior,Similar,Superior"</formula1>
    </dataValidation>
    <dataValidation allowBlank="1" showInputMessage="1" showErrorMessage="1" promptTitle="Otros atributos" prompt="Atributos o características relevantes en el caso específico de esta tasación." sqref="Q15 Q35 Q55 Q75 Q95 Q115"/>
    <dataValidation allowBlank="1" showInputMessage="1" showErrorMessage="1" promptTitle="Aporte de Valor" prompt="Valor estimado de cada atributo o característica específica posible de medir por separado: con signo negativo si la característica de la propiedad comparable es superior a la de la propiedad tasada." sqref="C17:P17 C37:P37 C57:P57 C77:P77 C97:P97 C117:P117"/>
    <dataValidation allowBlank="1" showInputMessage="1" showErrorMessage="1" promptTitle="Coeficente corrector" prompt="Ajuste porcentual de la característica de la propiedad comparable respecto a la correspondiente de la propiedad tasada: con signo negativo si es superior." sqref="C18:Q18 C38:Q38 C58:Q58 C78:Q78 C98:Q98 C118:Q118"/>
    <dataValidation type="list" allowBlank="1" showInputMessage="1" showErrorMessage="1" sqref="E6 I6 M6 E26 I26 M26 E46 I46 M46 E66 I66 M66 E86 I86 M86 E106 I106 M106">
      <formula1>"SI,NO,S/D"</formula1>
    </dataValidation>
  </dataValidations>
  <printOptions horizontalCentered="1"/>
  <pageMargins left="0.75" right="0.75" top="0.5118110236220472" bottom="1.5748031496062993" header="0" footer="1.3779527559055118"/>
  <pageSetup horizontalDpi="300" verticalDpi="300" orientation="portrait" paperSize="5" r:id="rId2"/>
  <rowBreaks count="1" manualBreakCount="1">
    <brk id="62" max="25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"/>
  <dimension ref="A1:AW42"/>
  <sheetViews>
    <sheetView showGridLines="0" showZeros="0" workbookViewId="0" topLeftCell="A1">
      <selection activeCell="A1" sqref="A1"/>
    </sheetView>
  </sheetViews>
  <sheetFormatPr defaultColWidth="11.421875" defaultRowHeight="12.75" customHeight="1"/>
  <cols>
    <col min="1" max="2" width="0.5625" style="62" customWidth="1"/>
    <col min="3" max="3" width="1.8515625" style="62" customWidth="1"/>
    <col min="4" max="12" width="2.7109375" style="62" customWidth="1"/>
    <col min="13" max="13" width="2.140625" style="62" customWidth="1"/>
    <col min="14" max="14" width="1.8515625" style="62" customWidth="1"/>
    <col min="15" max="16" width="3.57421875" style="63" customWidth="1"/>
    <col min="17" max="17" width="3.28125" style="63" customWidth="1"/>
    <col min="18" max="18" width="3.00390625" style="63" customWidth="1"/>
    <col min="19" max="19" width="3.140625" style="63" customWidth="1"/>
    <col min="20" max="21" width="2.57421875" style="63" customWidth="1"/>
    <col min="22" max="23" width="2.7109375" style="62" customWidth="1"/>
    <col min="24" max="26" width="2.57421875" style="62" customWidth="1"/>
    <col min="27" max="27" width="1.7109375" style="62" customWidth="1"/>
    <col min="28" max="29" width="2.7109375" style="62" customWidth="1"/>
    <col min="30" max="30" width="1.7109375" style="62" customWidth="1"/>
    <col min="31" max="32" width="2.57421875" style="62" customWidth="1"/>
    <col min="33" max="33" width="2.140625" style="62" customWidth="1"/>
    <col min="34" max="34" width="2.421875" style="62" customWidth="1"/>
    <col min="35" max="35" width="2.7109375" style="62" customWidth="1"/>
    <col min="36" max="36" width="3.57421875" style="62" customWidth="1"/>
    <col min="37" max="37" width="3.7109375" style="62" customWidth="1"/>
    <col min="38" max="39" width="2.7109375" style="62" customWidth="1"/>
    <col min="40" max="40" width="1.8515625" style="63" customWidth="1"/>
    <col min="41" max="41" width="0.5625" style="62" customWidth="1"/>
    <col min="42" max="42" width="0.2890625" style="62" customWidth="1"/>
    <col min="43" max="43" width="10.8515625" style="62" hidden="1" customWidth="1"/>
    <col min="44" max="44" width="7.7109375" style="62" hidden="1" customWidth="1"/>
    <col min="45" max="45" width="3.7109375" style="62" hidden="1" customWidth="1"/>
    <col min="46" max="46" width="7.140625" style="62" hidden="1" customWidth="1"/>
    <col min="47" max="48" width="3.7109375" style="62" hidden="1" customWidth="1"/>
    <col min="49" max="49" width="3.57421875" style="62" hidden="1" customWidth="1"/>
    <col min="50" max="55" width="4.57421875" style="62" hidden="1" customWidth="1"/>
    <col min="56" max="16384" width="11.421875" style="62" hidden="1" customWidth="1"/>
  </cols>
  <sheetData>
    <row r="1" spans="1:41" s="23" customFormat="1" ht="24" customHeight="1">
      <c r="A1" s="492"/>
      <c r="C1" s="58"/>
      <c r="D1" s="47"/>
      <c r="E1" s="47"/>
      <c r="F1" s="47"/>
      <c r="G1" s="47"/>
      <c r="H1" s="47"/>
      <c r="I1" s="47"/>
      <c r="J1" s="47"/>
      <c r="M1" s="30"/>
      <c r="N1" s="268"/>
      <c r="O1" s="30"/>
      <c r="P1" s="46"/>
      <c r="Q1" s="60"/>
      <c r="R1" s="268"/>
      <c r="S1" s="59" t="s">
        <v>155</v>
      </c>
      <c r="U1" s="48"/>
      <c r="AH1" s="1038">
        <f>Tasación!Y1</f>
        <v>0</v>
      </c>
      <c r="AI1" s="1038"/>
      <c r="AJ1" s="1038"/>
      <c r="AK1" s="1038"/>
      <c r="AL1" s="1038"/>
      <c r="AM1" s="1038"/>
      <c r="AN1" s="1038"/>
      <c r="AO1" s="1038"/>
    </row>
    <row r="2" spans="1:41" s="64" customFormat="1" ht="2.25" customHeight="1">
      <c r="A2" s="87"/>
      <c r="B2" s="65"/>
      <c r="C2" s="20"/>
      <c r="D2" s="269"/>
      <c r="E2" s="10"/>
      <c r="F2" s="92"/>
      <c r="G2" s="92"/>
      <c r="H2" s="92"/>
      <c r="I2" s="92"/>
      <c r="J2" s="92"/>
      <c r="K2" s="92"/>
      <c r="L2" s="92"/>
      <c r="M2" s="70"/>
      <c r="N2" s="70"/>
      <c r="O2" s="70"/>
      <c r="P2" s="269"/>
      <c r="Q2" s="70"/>
      <c r="Z2" s="269"/>
      <c r="AA2" s="269"/>
      <c r="AB2" s="10"/>
      <c r="AC2" s="1039"/>
      <c r="AD2" s="1039"/>
      <c r="AE2" s="1039"/>
      <c r="AF2" s="1039"/>
      <c r="AG2" s="1039"/>
      <c r="AH2" s="1039"/>
      <c r="AI2" s="10"/>
      <c r="AJ2" s="10"/>
      <c r="AK2" s="1039"/>
      <c r="AL2" s="1039"/>
      <c r="AM2" s="1039"/>
      <c r="AN2" s="1039"/>
      <c r="AO2" s="1039"/>
    </row>
    <row r="3" spans="1:42" s="22" customFormat="1" ht="12.75" customHeight="1">
      <c r="A3" s="11"/>
      <c r="B3" s="693"/>
      <c r="C3" s="694" t="s">
        <v>138</v>
      </c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696"/>
      <c r="O3" s="697"/>
      <c r="P3" s="697"/>
      <c r="Q3" s="697"/>
      <c r="R3" s="697"/>
      <c r="S3" s="697"/>
      <c r="T3" s="697"/>
      <c r="U3" s="697"/>
      <c r="V3" s="697"/>
      <c r="W3" s="697"/>
      <c r="X3" s="696"/>
      <c r="Y3" s="696"/>
      <c r="Z3" s="696"/>
      <c r="AA3" s="698"/>
      <c r="AB3" s="699"/>
      <c r="AC3" s="697"/>
      <c r="AD3" s="697"/>
      <c r="AE3" s="697"/>
      <c r="AF3" s="696"/>
      <c r="AG3" s="696"/>
      <c r="AH3" s="696"/>
      <c r="AI3" s="696"/>
      <c r="AJ3" s="696"/>
      <c r="AK3" s="699"/>
      <c r="AL3" s="697"/>
      <c r="AM3" s="697"/>
      <c r="AN3" s="697"/>
      <c r="AO3" s="700"/>
      <c r="AP3" s="91"/>
    </row>
    <row r="4" spans="2:41" s="8" customFormat="1" ht="2.25" customHeight="1">
      <c r="B4" s="165"/>
      <c r="C4" s="267"/>
      <c r="D4" s="12"/>
      <c r="E4" s="12"/>
      <c r="F4" s="12"/>
      <c r="I4" s="9"/>
      <c r="M4" s="9"/>
      <c r="O4" s="21"/>
      <c r="P4" s="21"/>
      <c r="Q4" s="21"/>
      <c r="AG4" s="21"/>
      <c r="AO4" s="17"/>
    </row>
    <row r="5" spans="2:42" s="185" customFormat="1" ht="12" customHeight="1">
      <c r="B5" s="165"/>
      <c r="C5" s="325"/>
      <c r="D5" s="325"/>
      <c r="E5" s="325"/>
      <c r="F5" s="325"/>
      <c r="G5" s="323" t="s">
        <v>81</v>
      </c>
      <c r="H5" s="1041"/>
      <c r="I5" s="1042"/>
      <c r="J5" s="1042"/>
      <c r="K5" s="1042"/>
      <c r="L5" s="1042"/>
      <c r="M5" s="1042"/>
      <c r="N5" s="325"/>
      <c r="O5" s="325"/>
      <c r="P5" s="325"/>
      <c r="Q5" s="325"/>
      <c r="R5" s="325"/>
      <c r="T5" s="323" t="s">
        <v>84</v>
      </c>
      <c r="U5" s="1040"/>
      <c r="V5" s="1040"/>
      <c r="W5" s="1040"/>
      <c r="X5" s="1040"/>
      <c r="Y5" s="1040"/>
      <c r="Z5" s="325"/>
      <c r="AA5" s="325"/>
      <c r="AB5" s="325"/>
      <c r="AC5" s="325"/>
      <c r="AD5" s="325"/>
      <c r="AE5" s="325"/>
      <c r="AF5" s="325"/>
      <c r="AG5" s="325"/>
      <c r="AI5" s="323" t="s">
        <v>176</v>
      </c>
      <c r="AJ5" s="1040"/>
      <c r="AK5" s="1040"/>
      <c r="AL5" s="1040"/>
      <c r="AM5" s="1040"/>
      <c r="AN5" s="1040"/>
      <c r="AP5" s="184"/>
    </row>
    <row r="6" spans="2:42" s="185" customFormat="1" ht="12" customHeight="1">
      <c r="B6" s="165"/>
      <c r="C6" s="325"/>
      <c r="D6" s="325"/>
      <c r="E6" s="325"/>
      <c r="F6" s="325"/>
      <c r="G6" s="326" t="s">
        <v>82</v>
      </c>
      <c r="H6" s="1041"/>
      <c r="I6" s="1042"/>
      <c r="J6" s="1042"/>
      <c r="K6" s="1042"/>
      <c r="L6" s="1042"/>
      <c r="M6" s="1042"/>
      <c r="N6" s="325"/>
      <c r="O6" s="325"/>
      <c r="P6" s="325"/>
      <c r="Q6" s="325"/>
      <c r="R6" s="325"/>
      <c r="T6" s="326" t="s">
        <v>83</v>
      </c>
      <c r="U6" s="1040"/>
      <c r="V6" s="1040"/>
      <c r="W6" s="1040"/>
      <c r="X6" s="1040"/>
      <c r="Y6" s="1040"/>
      <c r="Z6" s="325"/>
      <c r="AA6" s="325"/>
      <c r="AB6" s="325"/>
      <c r="AC6" s="322"/>
      <c r="AD6" s="325"/>
      <c r="AE6" s="325"/>
      <c r="AF6" s="325"/>
      <c r="AG6" s="325"/>
      <c r="AI6" s="374" t="s">
        <v>91</v>
      </c>
      <c r="AJ6" s="1040"/>
      <c r="AK6" s="1040"/>
      <c r="AL6" s="1040"/>
      <c r="AM6" s="1040"/>
      <c r="AN6" s="1040"/>
      <c r="AO6" s="17"/>
      <c r="AP6" s="184"/>
    </row>
    <row r="7" spans="2:42" s="185" customFormat="1" ht="12" customHeight="1">
      <c r="B7" s="165"/>
      <c r="C7" s="325"/>
      <c r="D7" s="375"/>
      <c r="E7" s="325"/>
      <c r="F7" s="325"/>
      <c r="G7" s="326" t="s">
        <v>88</v>
      </c>
      <c r="H7" s="1041"/>
      <c r="I7" s="1042"/>
      <c r="J7" s="1042"/>
      <c r="K7" s="1042"/>
      <c r="L7" s="1042"/>
      <c r="M7" s="1042"/>
      <c r="N7" s="325"/>
      <c r="O7" s="325"/>
      <c r="P7" s="325"/>
      <c r="Q7" s="325"/>
      <c r="R7" s="325"/>
      <c r="T7" s="326" t="s">
        <v>87</v>
      </c>
      <c r="U7" s="1040"/>
      <c r="V7" s="1040"/>
      <c r="W7" s="1040"/>
      <c r="X7" s="1040"/>
      <c r="Y7" s="1040"/>
      <c r="Z7" s="325"/>
      <c r="AA7" s="325"/>
      <c r="AB7" s="325"/>
      <c r="AC7" s="325"/>
      <c r="AD7" s="322"/>
      <c r="AE7" s="325"/>
      <c r="AF7" s="325"/>
      <c r="AG7" s="325"/>
      <c r="AI7" s="326" t="s">
        <v>85</v>
      </c>
      <c r="AJ7" s="1040"/>
      <c r="AK7" s="1040"/>
      <c r="AL7" s="1040"/>
      <c r="AM7" s="1040"/>
      <c r="AN7" s="1040"/>
      <c r="AP7" s="184"/>
    </row>
    <row r="8" spans="2:42" s="79" customFormat="1" ht="18.75" customHeight="1">
      <c r="B8" s="166"/>
      <c r="C8" s="376"/>
      <c r="G8" s="838" t="s">
        <v>117</v>
      </c>
      <c r="H8" s="911"/>
      <c r="I8" s="911"/>
      <c r="J8" s="911"/>
      <c r="K8" s="911"/>
      <c r="L8" s="911"/>
      <c r="M8" s="911"/>
      <c r="N8" s="911"/>
      <c r="O8" s="911"/>
      <c r="P8" s="911"/>
      <c r="Q8" s="911"/>
      <c r="R8" s="911"/>
      <c r="S8" s="911"/>
      <c r="T8" s="911"/>
      <c r="U8" s="911"/>
      <c r="V8" s="911"/>
      <c r="W8" s="911"/>
      <c r="X8" s="911"/>
      <c r="Y8" s="911"/>
      <c r="Z8" s="911"/>
      <c r="AA8" s="911"/>
      <c r="AB8" s="911"/>
      <c r="AC8" s="911"/>
      <c r="AD8" s="911"/>
      <c r="AE8" s="911"/>
      <c r="AF8" s="911"/>
      <c r="AG8" s="911"/>
      <c r="AH8" s="911"/>
      <c r="AI8" s="911"/>
      <c r="AJ8" s="911"/>
      <c r="AK8" s="911"/>
      <c r="AL8" s="911"/>
      <c r="AM8" s="911"/>
      <c r="AN8" s="911"/>
      <c r="AO8" s="78"/>
      <c r="AP8" s="74"/>
    </row>
    <row r="9" spans="1:43" ht="2.25" customHeight="1">
      <c r="A9" s="271"/>
      <c r="B9" s="270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2"/>
      <c r="P9" s="272"/>
      <c r="Q9" s="272"/>
      <c r="R9" s="272"/>
      <c r="S9" s="272"/>
      <c r="T9" s="272"/>
      <c r="U9" s="272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2"/>
      <c r="AO9" s="273"/>
      <c r="AP9" s="271"/>
      <c r="AQ9" s="271"/>
    </row>
    <row r="10" spans="1:42" s="22" customFormat="1" ht="12.75" customHeight="1">
      <c r="A10" s="11"/>
      <c r="B10" s="693"/>
      <c r="C10" s="694" t="s">
        <v>156</v>
      </c>
      <c r="D10" s="695"/>
      <c r="E10" s="695"/>
      <c r="F10" s="695"/>
      <c r="G10" s="695"/>
      <c r="H10" s="695"/>
      <c r="I10" s="695"/>
      <c r="J10" s="695"/>
      <c r="K10" s="695"/>
      <c r="L10" s="695"/>
      <c r="M10" s="695"/>
      <c r="N10" s="696"/>
      <c r="O10" s="697"/>
      <c r="P10" s="697"/>
      <c r="Q10" s="697"/>
      <c r="R10" s="697"/>
      <c r="S10" s="697"/>
      <c r="T10" s="697"/>
      <c r="U10" s="697"/>
      <c r="V10" s="697"/>
      <c r="W10" s="697"/>
      <c r="X10" s="696"/>
      <c r="Y10" s="696"/>
      <c r="Z10" s="696"/>
      <c r="AA10" s="698"/>
      <c r="AB10" s="699"/>
      <c r="AC10" s="697"/>
      <c r="AD10" s="697"/>
      <c r="AE10" s="697"/>
      <c r="AF10" s="696"/>
      <c r="AG10" s="696"/>
      <c r="AH10" s="696"/>
      <c r="AI10" s="696"/>
      <c r="AJ10" s="696"/>
      <c r="AK10" s="699"/>
      <c r="AL10" s="697"/>
      <c r="AM10" s="697"/>
      <c r="AN10" s="697"/>
      <c r="AO10" s="700"/>
      <c r="AP10" s="91"/>
    </row>
    <row r="11" spans="2:41" s="8" customFormat="1" ht="2.25" customHeight="1">
      <c r="B11" s="266"/>
      <c r="C11" s="267"/>
      <c r="D11" s="12"/>
      <c r="E11" s="12"/>
      <c r="F11" s="12"/>
      <c r="I11" s="9"/>
      <c r="M11" s="9"/>
      <c r="O11" s="21"/>
      <c r="P11" s="21"/>
      <c r="Q11" s="21"/>
      <c r="AG11" s="21"/>
      <c r="AO11" s="17"/>
    </row>
    <row r="12" spans="2:41" s="8" customFormat="1" ht="11.25" customHeight="1">
      <c r="B12" s="165"/>
      <c r="D12" s="344"/>
      <c r="E12" s="344"/>
      <c r="F12" s="344"/>
      <c r="G12" s="323" t="s">
        <v>268</v>
      </c>
      <c r="H12" s="885"/>
      <c r="I12" s="885"/>
      <c r="J12" s="885"/>
      <c r="K12" s="885"/>
      <c r="L12" s="885"/>
      <c r="M12" s="885"/>
      <c r="N12" s="885"/>
      <c r="O12" s="885"/>
      <c r="P12" s="885"/>
      <c r="Q12" s="885"/>
      <c r="R12" s="885"/>
      <c r="S12" s="885"/>
      <c r="T12" s="885"/>
      <c r="U12" s="885"/>
      <c r="V12" s="885"/>
      <c r="W12" s="885"/>
      <c r="X12" s="885"/>
      <c r="Y12" s="885"/>
      <c r="Z12" s="322"/>
      <c r="AA12" s="377"/>
      <c r="AB12" s="322"/>
      <c r="AC12" s="322"/>
      <c r="AD12" s="322"/>
      <c r="AE12" s="322"/>
      <c r="AF12" s="322"/>
      <c r="AG12" s="322"/>
      <c r="AJ12" s="323" t="s">
        <v>478</v>
      </c>
      <c r="AK12" s="1040"/>
      <c r="AL12" s="1040"/>
      <c r="AM12" s="1040"/>
      <c r="AN12" s="377"/>
      <c r="AO12" s="17"/>
    </row>
    <row r="13" spans="1:43" ht="11.25" customHeight="1">
      <c r="A13" s="271"/>
      <c r="B13" s="270"/>
      <c r="C13" s="377"/>
      <c r="D13" s="378"/>
      <c r="E13" s="378"/>
      <c r="F13" s="378"/>
      <c r="G13" s="324" t="s">
        <v>476</v>
      </c>
      <c r="H13" s="1040"/>
      <c r="I13" s="1040"/>
      <c r="J13" s="1040"/>
      <c r="K13" s="377"/>
      <c r="L13" s="377"/>
      <c r="M13" s="377"/>
      <c r="N13" s="378"/>
      <c r="O13" s="717" t="s">
        <v>132</v>
      </c>
      <c r="P13" s="378"/>
      <c r="Q13" s="377"/>
      <c r="R13" s="378"/>
      <c r="S13" s="378"/>
      <c r="T13" s="324" t="s">
        <v>131</v>
      </c>
      <c r="U13" s="1040"/>
      <c r="V13" s="1040"/>
      <c r="W13" s="1040"/>
      <c r="X13" s="377"/>
      <c r="Y13" s="377"/>
      <c r="Z13" s="378"/>
      <c r="AA13" s="377"/>
      <c r="AB13" s="378"/>
      <c r="AC13" s="378"/>
      <c r="AD13" s="378"/>
      <c r="AE13" s="718" t="s">
        <v>43</v>
      </c>
      <c r="AF13" s="324"/>
      <c r="AG13" s="377"/>
      <c r="AH13" s="271"/>
      <c r="AI13" s="271"/>
      <c r="AJ13" s="324" t="s">
        <v>130</v>
      </c>
      <c r="AK13" s="1040"/>
      <c r="AL13" s="1040"/>
      <c r="AM13" s="1040"/>
      <c r="AN13" s="377"/>
      <c r="AO13" s="273"/>
      <c r="AP13" s="271"/>
      <c r="AQ13" s="271"/>
    </row>
    <row r="14" spans="1:43" ht="11.25" customHeight="1">
      <c r="A14" s="271"/>
      <c r="B14" s="270"/>
      <c r="C14" s="377"/>
      <c r="D14" s="378"/>
      <c r="E14" s="378"/>
      <c r="F14" s="378"/>
      <c r="G14" s="324" t="s">
        <v>127</v>
      </c>
      <c r="H14" s="1040"/>
      <c r="I14" s="1040"/>
      <c r="J14" s="1040"/>
      <c r="K14" s="377"/>
      <c r="L14" s="377"/>
      <c r="M14" s="377"/>
      <c r="N14" s="378"/>
      <c r="O14" s="378"/>
      <c r="P14" s="378"/>
      <c r="Q14" s="377"/>
      <c r="R14" s="378"/>
      <c r="S14" s="378"/>
      <c r="T14" s="324" t="s">
        <v>484</v>
      </c>
      <c r="U14" s="1040"/>
      <c r="V14" s="1040"/>
      <c r="W14" s="1040"/>
      <c r="X14" s="377"/>
      <c r="Y14" s="377"/>
      <c r="Z14" s="378"/>
      <c r="AA14" s="377"/>
      <c r="AB14" s="378"/>
      <c r="AC14" s="378"/>
      <c r="AD14" s="378"/>
      <c r="AE14" s="378"/>
      <c r="AF14" s="324"/>
      <c r="AG14" s="377"/>
      <c r="AH14" s="271"/>
      <c r="AI14" s="271"/>
      <c r="AJ14" s="324" t="s">
        <v>131</v>
      </c>
      <c r="AK14" s="1040"/>
      <c r="AL14" s="1040"/>
      <c r="AM14" s="1040"/>
      <c r="AN14" s="377"/>
      <c r="AO14" s="273"/>
      <c r="AP14" s="271"/>
      <c r="AQ14" s="271"/>
    </row>
    <row r="15" spans="1:43" ht="11.25" customHeight="1">
      <c r="A15" s="271"/>
      <c r="B15" s="270"/>
      <c r="C15" s="377"/>
      <c r="D15" s="378"/>
      <c r="E15" s="378"/>
      <c r="F15" s="378"/>
      <c r="G15" s="324" t="s">
        <v>32</v>
      </c>
      <c r="H15" s="1040"/>
      <c r="I15" s="1040"/>
      <c r="J15" s="1040"/>
      <c r="K15" s="377"/>
      <c r="L15" s="377"/>
      <c r="M15" s="377"/>
      <c r="N15" s="378"/>
      <c r="O15" s="378"/>
      <c r="P15" s="378"/>
      <c r="Q15" s="377"/>
      <c r="R15" s="378"/>
      <c r="S15" s="378"/>
      <c r="T15" s="324" t="s">
        <v>135</v>
      </c>
      <c r="U15" s="1040"/>
      <c r="V15" s="1040"/>
      <c r="W15" s="1040"/>
      <c r="X15" s="377"/>
      <c r="Y15" s="377"/>
      <c r="Z15" s="378"/>
      <c r="AA15" s="377"/>
      <c r="AB15" s="378"/>
      <c r="AC15" s="378"/>
      <c r="AD15" s="378"/>
      <c r="AE15" s="378"/>
      <c r="AF15" s="324"/>
      <c r="AG15" s="377"/>
      <c r="AH15" s="271"/>
      <c r="AI15" s="271"/>
      <c r="AJ15" s="324" t="s">
        <v>269</v>
      </c>
      <c r="AK15" s="1040"/>
      <c r="AL15" s="1040"/>
      <c r="AM15" s="1040"/>
      <c r="AN15" s="377"/>
      <c r="AO15" s="273"/>
      <c r="AP15" s="271"/>
      <c r="AQ15" s="271"/>
    </row>
    <row r="16" spans="1:43" ht="11.25" customHeight="1">
      <c r="A16" s="271"/>
      <c r="B16" s="270"/>
      <c r="C16" s="377"/>
      <c r="D16" s="378"/>
      <c r="E16" s="378"/>
      <c r="F16" s="378"/>
      <c r="G16" s="324" t="s">
        <v>128</v>
      </c>
      <c r="H16" s="1040"/>
      <c r="I16" s="1040"/>
      <c r="J16" s="1040"/>
      <c r="K16" s="377"/>
      <c r="L16" s="377"/>
      <c r="M16" s="377"/>
      <c r="N16" s="378"/>
      <c r="O16" s="378"/>
      <c r="P16" s="378"/>
      <c r="Q16" s="377"/>
      <c r="R16" s="377"/>
      <c r="S16" s="377"/>
      <c r="T16" s="319" t="s">
        <v>525</v>
      </c>
      <c r="U16" s="1040"/>
      <c r="V16" s="1040"/>
      <c r="W16" s="1040"/>
      <c r="X16" s="377"/>
      <c r="Y16" s="377"/>
      <c r="Z16" s="378"/>
      <c r="AA16" s="377"/>
      <c r="AB16" s="378"/>
      <c r="AC16" s="378"/>
      <c r="AD16" s="378"/>
      <c r="AE16" s="378"/>
      <c r="AF16" s="324"/>
      <c r="AG16" s="377"/>
      <c r="AH16" s="271"/>
      <c r="AI16" s="271"/>
      <c r="AJ16" s="324" t="s">
        <v>171</v>
      </c>
      <c r="AK16" s="1040"/>
      <c r="AL16" s="1040"/>
      <c r="AM16" s="1040"/>
      <c r="AN16" s="377"/>
      <c r="AO16" s="273"/>
      <c r="AP16" s="271"/>
      <c r="AQ16" s="271"/>
    </row>
    <row r="17" spans="1:43" ht="11.25" customHeight="1">
      <c r="A17" s="271"/>
      <c r="B17" s="270"/>
      <c r="C17" s="377"/>
      <c r="D17" s="378"/>
      <c r="E17" s="378"/>
      <c r="F17" s="378"/>
      <c r="G17" s="324" t="s">
        <v>129</v>
      </c>
      <c r="H17" s="1040"/>
      <c r="I17" s="1040"/>
      <c r="J17" s="1040"/>
      <c r="K17" s="377"/>
      <c r="L17" s="377"/>
      <c r="M17" s="377"/>
      <c r="N17" s="378"/>
      <c r="O17" s="378"/>
      <c r="P17" s="378"/>
      <c r="Q17" s="377"/>
      <c r="R17" s="377"/>
      <c r="S17" s="377"/>
      <c r="T17" s="319" t="s">
        <v>526</v>
      </c>
      <c r="U17" s="1040"/>
      <c r="V17" s="1040"/>
      <c r="W17" s="1040"/>
      <c r="X17" s="377"/>
      <c r="Y17" s="377"/>
      <c r="Z17" s="378"/>
      <c r="AA17" s="377"/>
      <c r="AB17" s="378"/>
      <c r="AC17" s="378"/>
      <c r="AD17" s="378"/>
      <c r="AE17" s="378"/>
      <c r="AF17" s="324"/>
      <c r="AG17" s="377"/>
      <c r="AH17" s="271"/>
      <c r="AI17" s="271"/>
      <c r="AJ17" s="324" t="s">
        <v>170</v>
      </c>
      <c r="AK17" s="1040"/>
      <c r="AL17" s="1040"/>
      <c r="AM17" s="1040"/>
      <c r="AN17" s="377"/>
      <c r="AO17" s="273"/>
      <c r="AP17" s="271"/>
      <c r="AQ17" s="271"/>
    </row>
    <row r="18" spans="1:43" s="63" customFormat="1" ht="2.25" customHeight="1">
      <c r="A18" s="272"/>
      <c r="B18" s="270"/>
      <c r="C18" s="377"/>
      <c r="D18" s="377"/>
      <c r="E18" s="377"/>
      <c r="F18" s="377"/>
      <c r="G18" s="377"/>
      <c r="H18" s="377"/>
      <c r="I18" s="377"/>
      <c r="J18" s="377"/>
      <c r="K18" s="377"/>
      <c r="L18" s="377"/>
      <c r="M18" s="377"/>
      <c r="N18" s="377"/>
      <c r="O18" s="377"/>
      <c r="P18" s="377"/>
      <c r="Q18" s="377"/>
      <c r="R18" s="377"/>
      <c r="S18" s="377"/>
      <c r="T18" s="377"/>
      <c r="U18" s="377"/>
      <c r="V18" s="377"/>
      <c r="W18" s="377"/>
      <c r="X18" s="377"/>
      <c r="Y18" s="377"/>
      <c r="Z18" s="377"/>
      <c r="AA18" s="377"/>
      <c r="AB18" s="377"/>
      <c r="AC18" s="377"/>
      <c r="AD18" s="377"/>
      <c r="AE18" s="377"/>
      <c r="AF18" s="377"/>
      <c r="AG18" s="377"/>
      <c r="AH18" s="377"/>
      <c r="AI18" s="377"/>
      <c r="AJ18" s="377"/>
      <c r="AK18" s="377"/>
      <c r="AL18" s="377"/>
      <c r="AM18" s="377"/>
      <c r="AN18" s="377"/>
      <c r="AO18" s="273"/>
      <c r="AP18" s="275"/>
      <c r="AQ18" s="272"/>
    </row>
    <row r="19" spans="1:43" ht="18.75" customHeight="1">
      <c r="A19" s="271"/>
      <c r="B19" s="270"/>
      <c r="D19" s="378"/>
      <c r="E19" s="378"/>
      <c r="F19" s="378"/>
      <c r="G19" s="838" t="s">
        <v>117</v>
      </c>
      <c r="H19" s="911"/>
      <c r="I19" s="911"/>
      <c r="J19" s="911"/>
      <c r="K19" s="911"/>
      <c r="L19" s="911"/>
      <c r="M19" s="911"/>
      <c r="N19" s="911"/>
      <c r="O19" s="911"/>
      <c r="P19" s="911"/>
      <c r="Q19" s="911"/>
      <c r="R19" s="911"/>
      <c r="S19" s="911"/>
      <c r="T19" s="911"/>
      <c r="U19" s="911"/>
      <c r="V19" s="911"/>
      <c r="W19" s="911"/>
      <c r="X19" s="911"/>
      <c r="Y19" s="911"/>
      <c r="Z19" s="911"/>
      <c r="AA19" s="911"/>
      <c r="AB19" s="911"/>
      <c r="AC19" s="911"/>
      <c r="AD19" s="911"/>
      <c r="AE19" s="911"/>
      <c r="AF19" s="911"/>
      <c r="AG19" s="911"/>
      <c r="AH19" s="911"/>
      <c r="AI19" s="911"/>
      <c r="AJ19" s="911"/>
      <c r="AK19" s="911"/>
      <c r="AL19" s="911"/>
      <c r="AM19" s="911"/>
      <c r="AN19" s="911"/>
      <c r="AO19" s="86"/>
      <c r="AP19" s="271"/>
      <c r="AQ19" s="271"/>
    </row>
    <row r="20" spans="1:43" ht="2.25" customHeight="1">
      <c r="A20" s="271"/>
      <c r="B20" s="276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7"/>
      <c r="Q20" s="277"/>
      <c r="R20" s="277"/>
      <c r="S20" s="277"/>
      <c r="T20" s="277"/>
      <c r="U20" s="277"/>
      <c r="V20" s="277"/>
      <c r="W20" s="277"/>
      <c r="X20" s="277"/>
      <c r="Y20" s="278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9"/>
      <c r="AP20" s="271"/>
      <c r="AQ20" s="271"/>
    </row>
    <row r="21" spans="1:42" s="22" customFormat="1" ht="12.75" customHeight="1">
      <c r="A21" s="11"/>
      <c r="B21" s="693"/>
      <c r="C21" s="694" t="s">
        <v>140</v>
      </c>
      <c r="D21" s="695"/>
      <c r="E21" s="695"/>
      <c r="F21" s="695"/>
      <c r="G21" s="695"/>
      <c r="H21" s="695"/>
      <c r="I21" s="695"/>
      <c r="J21" s="695"/>
      <c r="K21" s="695"/>
      <c r="L21" s="695"/>
      <c r="M21" s="695"/>
      <c r="N21" s="696"/>
      <c r="O21" s="697"/>
      <c r="P21" s="697"/>
      <c r="Q21" s="697"/>
      <c r="R21" s="697"/>
      <c r="S21" s="697"/>
      <c r="T21" s="697"/>
      <c r="U21" s="697"/>
      <c r="V21" s="697"/>
      <c r="W21" s="697"/>
      <c r="X21" s="696"/>
      <c r="Y21" s="696"/>
      <c r="Z21" s="696"/>
      <c r="AA21" s="698"/>
      <c r="AB21" s="699"/>
      <c r="AC21" s="697"/>
      <c r="AD21" s="697"/>
      <c r="AE21" s="697"/>
      <c r="AF21" s="696"/>
      <c r="AG21" s="696"/>
      <c r="AH21" s="696"/>
      <c r="AI21" s="696"/>
      <c r="AJ21" s="696"/>
      <c r="AK21" s="699"/>
      <c r="AL21" s="697"/>
      <c r="AM21" s="697"/>
      <c r="AN21" s="697"/>
      <c r="AO21" s="700"/>
      <c r="AP21" s="91"/>
    </row>
    <row r="22" spans="1:42" s="161" customFormat="1" ht="13.5" customHeight="1">
      <c r="A22" s="160"/>
      <c r="B22" s="302"/>
      <c r="C22" s="303" t="s">
        <v>163</v>
      </c>
      <c r="D22" s="304"/>
      <c r="E22" s="304"/>
      <c r="F22" s="305"/>
      <c r="G22" s="305"/>
      <c r="H22" s="306"/>
      <c r="I22" s="305"/>
      <c r="J22" s="305"/>
      <c r="K22" s="305"/>
      <c r="L22" s="305"/>
      <c r="M22" s="307"/>
      <c r="N22" s="305"/>
      <c r="O22" s="307"/>
      <c r="P22" s="305"/>
      <c r="Q22" s="305"/>
      <c r="R22" s="305"/>
      <c r="S22" s="305"/>
      <c r="T22" s="407"/>
      <c r="U22" s="308"/>
      <c r="V22" s="308"/>
      <c r="W22" s="309"/>
      <c r="X22" s="305"/>
      <c r="Y22" s="305"/>
      <c r="Z22" s="305"/>
      <c r="AA22" s="305"/>
      <c r="AB22" s="1006" t="s">
        <v>86</v>
      </c>
      <c r="AC22" s="1006"/>
      <c r="AD22" s="1006"/>
      <c r="AE22" s="1006"/>
      <c r="AF22" s="1006"/>
      <c r="AG22" s="1006"/>
      <c r="AH22" s="1006"/>
      <c r="AI22" s="1006"/>
      <c r="AJ22" s="1006"/>
      <c r="AK22" s="1006"/>
      <c r="AL22" s="1006"/>
      <c r="AM22" s="1006"/>
      <c r="AN22" s="305"/>
      <c r="AO22" s="310"/>
      <c r="AP22" s="160"/>
    </row>
    <row r="23" spans="1:42" s="64" customFormat="1" ht="21.75" customHeight="1">
      <c r="A23" s="87"/>
      <c r="B23" s="82"/>
      <c r="C23" s="80"/>
      <c r="D23" s="164" t="s">
        <v>59</v>
      </c>
      <c r="E23" s="164"/>
      <c r="F23" s="162"/>
      <c r="G23" s="162"/>
      <c r="H23" s="162"/>
      <c r="I23" s="162"/>
      <c r="J23" s="297"/>
      <c r="K23" s="298"/>
      <c r="L23" s="299" t="s">
        <v>58</v>
      </c>
      <c r="M23" s="163"/>
      <c r="N23" s="163"/>
      <c r="O23" s="299" t="s">
        <v>486</v>
      </c>
      <c r="P23" s="720" t="s">
        <v>485</v>
      </c>
      <c r="Q23" s="1003" t="s">
        <v>487</v>
      </c>
      <c r="R23" s="1004"/>
      <c r="S23" s="1005"/>
      <c r="T23" s="299" t="s">
        <v>136</v>
      </c>
      <c r="U23" s="299"/>
      <c r="V23" s="299" t="s">
        <v>462</v>
      </c>
      <c r="W23" s="300" t="s">
        <v>463</v>
      </c>
      <c r="X23" s="299" t="s">
        <v>60</v>
      </c>
      <c r="Y23" s="162"/>
      <c r="Z23" s="162"/>
      <c r="AA23" s="299" t="s">
        <v>483</v>
      </c>
      <c r="AB23" s="162"/>
      <c r="AC23" s="162"/>
      <c r="AD23" s="689" t="s">
        <v>527</v>
      </c>
      <c r="AE23" s="690"/>
      <c r="AF23" s="690"/>
      <c r="AG23" s="689" t="s">
        <v>528</v>
      </c>
      <c r="AH23" s="690"/>
      <c r="AI23" s="690"/>
      <c r="AJ23" s="692" t="s">
        <v>529</v>
      </c>
      <c r="AK23" s="691"/>
      <c r="AL23" s="689" t="s">
        <v>231</v>
      </c>
      <c r="AM23" s="690"/>
      <c r="AN23" s="690"/>
      <c r="AO23" s="301"/>
      <c r="AP23" s="280"/>
    </row>
    <row r="24" spans="2:49" s="61" customFormat="1" ht="10.5" customHeight="1">
      <c r="B24" s="1057">
        <v>1</v>
      </c>
      <c r="C24" s="1058"/>
      <c r="D24" s="1015">
        <f>Comparables!K3</f>
        <v>0</v>
      </c>
      <c r="E24" s="1015"/>
      <c r="F24" s="1015"/>
      <c r="G24" s="1015"/>
      <c r="H24" s="1015"/>
      <c r="I24" s="1015"/>
      <c r="J24" s="1015"/>
      <c r="K24" s="1016"/>
      <c r="L24" s="1047">
        <f>Comparables!K7</f>
        <v>0</v>
      </c>
      <c r="M24" s="1048"/>
      <c r="N24" s="1049"/>
      <c r="O24" s="257" t="str">
        <f>IF(Comparables!C5="COMPRAVENTA","CV",IF(Comparables!C5="PROMESA COMPRAVENTA","PC",IF(Comparables!C5="OFERTA COMPROBADA","OC",IF(Comparables!C5="OFERTA SIN COMPROBAR","OS",IF(Comparables!C5="REMATE","RE",IF(Comparables!C5="TASACIÓN","TA",IF(Comparables!C5="PERITAJE EXPROPIACION","PE",IF(Comparables!C5="PRESUP./PROPUESTA","PR","OT"))))))))</f>
        <v>OT</v>
      </c>
      <c r="P24" s="258">
        <f>IF(Comparables!P4="INDIVIDUAL AISLADA","IA",IF(Comparables!P4="INDIVIDUAL PAREADA","IP",IF(Comparables!P4="CONJUNTO","CJ",IF(Comparables!P4="CONDOMINIO","CD",IF(Comparables!P4="EDIFICIO AISLADO","EA",IF(Comparables!P4="EDIFICIO CONTINUO","EC",IF(Comparables!P4="MULTIBLOCK","MU",0)))))))</f>
        <v>0</v>
      </c>
      <c r="Q24" s="991">
        <f>Comparables!B11</f>
        <v>0</v>
      </c>
      <c r="R24" s="992"/>
      <c r="S24" s="993"/>
      <c r="T24" s="1009">
        <f>Comparables!C11</f>
        <v>0</v>
      </c>
      <c r="U24" s="1010"/>
      <c r="V24" s="262">
        <f>Comparables!Q11</f>
        <v>0</v>
      </c>
      <c r="W24" s="287">
        <f>Comparables!R11</f>
        <v>0</v>
      </c>
      <c r="X24" s="1011">
        <f>Comparables!E11</f>
        <v>0</v>
      </c>
      <c r="Y24" s="1012"/>
      <c r="Z24" s="1013"/>
      <c r="AA24" s="1011">
        <f>Comparables!O11</f>
        <v>0</v>
      </c>
      <c r="AB24" s="1012"/>
      <c r="AC24" s="1013"/>
      <c r="AD24" s="996">
        <f>Comparables!C7</f>
        <v>0</v>
      </c>
      <c r="AE24" s="997"/>
      <c r="AF24" s="1014"/>
      <c r="AG24" s="1007">
        <f>Comparables!F7</f>
        <v>0</v>
      </c>
      <c r="AH24" s="1037"/>
      <c r="AI24" s="1008"/>
      <c r="AJ24" s="1007">
        <f>Comparables!H7</f>
        <v>0</v>
      </c>
      <c r="AK24" s="1008"/>
      <c r="AL24" s="996">
        <f>Comparables!Q21</f>
        <v>0</v>
      </c>
      <c r="AM24" s="997"/>
      <c r="AN24" s="997"/>
      <c r="AO24" s="288"/>
      <c r="AP24" s="280"/>
      <c r="AR24" s="61">
        <f aca="true" t="shared" si="0" ref="AR24:AR29">IF(X24=0,"",X24)</f>
      </c>
      <c r="AS24" s="61">
        <f aca="true" t="shared" si="1" ref="AS24:AS29">IF(AA24=0,"",AA24)</f>
      </c>
      <c r="AT24" s="61">
        <f aca="true" t="shared" si="2" ref="AT24:AT29">IF(AD24=0,"",AD24)</f>
      </c>
      <c r="AU24" s="61">
        <f aca="true" t="shared" si="3" ref="AU24:AU29">IF(AG24=0,"",AG24)</f>
      </c>
      <c r="AV24" s="61">
        <f aca="true" t="shared" si="4" ref="AV24:AV29">IF(AJ24=0,"",AJ24)</f>
      </c>
      <c r="AW24" s="61">
        <f aca="true" t="shared" si="5" ref="AW24:AW29">IF(AL24=0,"",AL24)</f>
      </c>
    </row>
    <row r="25" spans="1:49" s="159" customFormat="1" ht="10.5" customHeight="1">
      <c r="A25" s="281"/>
      <c r="B25" s="1055">
        <v>2</v>
      </c>
      <c r="C25" s="1056"/>
      <c r="D25" s="1050">
        <f>Comparables!K23</f>
        <v>0</v>
      </c>
      <c r="E25" s="1050"/>
      <c r="F25" s="1050"/>
      <c r="G25" s="1050"/>
      <c r="H25" s="1050"/>
      <c r="I25" s="1050"/>
      <c r="J25" s="1050"/>
      <c r="K25" s="1051"/>
      <c r="L25" s="1052">
        <f>Comparables!K27</f>
        <v>0</v>
      </c>
      <c r="M25" s="1053"/>
      <c r="N25" s="1054"/>
      <c r="O25" s="260" t="str">
        <f>IF(Comparables!C25="COMPRAVENTA","CV",IF(Comparables!C25="PROMESA COMPRAVENTA","PC",IF(Comparables!C25="OFERTA COMPROBADA","OC",IF(Comparables!C25="OFERTA SIN COMPROBAR","OS",IF(Comparables!C25="REMATE","RE",IF(Comparables!C25="TASACIÓN","TA",IF(Comparables!C25="PERITAJE EXPROPIACION","PE",IF(Comparables!C25="PRESUP./PROPUESTA","PR","OT"))))))))</f>
        <v>OT</v>
      </c>
      <c r="P25" s="261">
        <f>IF(Comparables!P24="INDIVIDUAL AISLADA","IA",IF(Comparables!P24="INDIVIDUAL PAREADA","IP",IF(Comparables!P24="CONJUNTO","CJ",IF(Comparables!P24="CONDOMINIO","CD",IF(Comparables!P24="EDIFICIO AISLADO","EA",IF(Comparables!P24="EDIFICIO CONTINUO","EC",IF(Comparables!P24="MULTIBLOCK","MU",0)))))))</f>
        <v>0</v>
      </c>
      <c r="Q25" s="1043">
        <f>Comparables!B31</f>
        <v>0</v>
      </c>
      <c r="R25" s="1044"/>
      <c r="S25" s="1045"/>
      <c r="T25" s="1029">
        <f>Comparables!C31</f>
        <v>0</v>
      </c>
      <c r="U25" s="1030"/>
      <c r="V25" s="263">
        <f>Comparables!Q31</f>
        <v>0</v>
      </c>
      <c r="W25" s="264">
        <f>Comparables!R31</f>
        <v>0</v>
      </c>
      <c r="X25" s="1023">
        <f>Comparables!E31</f>
        <v>0</v>
      </c>
      <c r="Y25" s="1024"/>
      <c r="Z25" s="1025"/>
      <c r="AA25" s="1023">
        <f>Comparables!O31</f>
        <v>0</v>
      </c>
      <c r="AB25" s="1024"/>
      <c r="AC25" s="1025"/>
      <c r="AD25" s="998">
        <f>Comparables!C27</f>
        <v>0</v>
      </c>
      <c r="AE25" s="999"/>
      <c r="AF25" s="1036"/>
      <c r="AG25" s="994">
        <f>Comparables!F27</f>
        <v>0</v>
      </c>
      <c r="AH25" s="995"/>
      <c r="AI25" s="1035"/>
      <c r="AJ25" s="1062">
        <f>Comparables!H27</f>
        <v>0</v>
      </c>
      <c r="AK25" s="1063"/>
      <c r="AL25" s="998">
        <f>Comparables!Q41</f>
        <v>0</v>
      </c>
      <c r="AM25" s="999"/>
      <c r="AN25" s="999"/>
      <c r="AO25" s="265"/>
      <c r="AP25" s="280"/>
      <c r="AQ25" s="281"/>
      <c r="AR25" s="61">
        <f t="shared" si="0"/>
      </c>
      <c r="AS25" s="61">
        <f t="shared" si="1"/>
      </c>
      <c r="AT25" s="61">
        <f t="shared" si="2"/>
      </c>
      <c r="AU25" s="61">
        <f t="shared" si="3"/>
      </c>
      <c r="AV25" s="61">
        <f t="shared" si="4"/>
      </c>
      <c r="AW25" s="61">
        <f t="shared" si="5"/>
      </c>
    </row>
    <row r="26" spans="1:49" s="159" customFormat="1" ht="10.5" customHeight="1">
      <c r="A26" s="281"/>
      <c r="B26" s="1055">
        <v>3</v>
      </c>
      <c r="C26" s="1056">
        <v>3</v>
      </c>
      <c r="D26" s="1050">
        <f>Comparables!K43</f>
        <v>0</v>
      </c>
      <c r="E26" s="1050"/>
      <c r="F26" s="1050"/>
      <c r="G26" s="1050"/>
      <c r="H26" s="1050"/>
      <c r="I26" s="1050"/>
      <c r="J26" s="1050"/>
      <c r="K26" s="1051"/>
      <c r="L26" s="1059">
        <f>Comparables!K47</f>
        <v>0</v>
      </c>
      <c r="M26" s="1060"/>
      <c r="N26" s="1061"/>
      <c r="O26" s="260" t="str">
        <f>IF(Comparables!C45="COMPRAVENTA","CV",IF(Comparables!C45="PROMESA COMPRAVENTA","PC",IF(Comparables!C45="OFERTA COMPROBADA","OC",IF(Comparables!C45="OFERTA SIN COMPROBAR","OS",IF(Comparables!C45="REMATE","RE",IF(Comparables!C45="TASACIÓN","TA",IF(Comparables!C45="PERITAJE EXPROPIACION","PE",IF(Comparables!C45="PRESUP./PROPUESTA","PR","OT"))))))))</f>
        <v>OT</v>
      </c>
      <c r="P26" s="261">
        <f>IF(Comparables!P44="INDIVIDUAL AISLADA","IA",IF(Comparables!P44="INDIVIDUAL PAREADA","IP",IF(Comparables!P44="CONJUNTO","CJ",IF(Comparables!P44="CONDOMINIO","CD",IF(Comparables!P44="EDIFICIO AISLADO","EA",IF(Comparables!P44="EDIFICIO CONTINUO","EC",IF(Comparables!P44="MULTIBLOCK","MU",0)))))))</f>
        <v>0</v>
      </c>
      <c r="Q26" s="1043">
        <f>Comparables!B51</f>
        <v>0</v>
      </c>
      <c r="R26" s="1044"/>
      <c r="S26" s="1045"/>
      <c r="T26" s="1029">
        <f>Comparables!C51</f>
        <v>0</v>
      </c>
      <c r="U26" s="1030"/>
      <c r="V26" s="263">
        <f>Comparables!Q51</f>
        <v>0</v>
      </c>
      <c r="W26" s="264">
        <f>Comparables!R51</f>
        <v>0</v>
      </c>
      <c r="X26" s="1023">
        <f>Comparables!E51</f>
        <v>0</v>
      </c>
      <c r="Y26" s="1024"/>
      <c r="Z26" s="1025"/>
      <c r="AA26" s="1023">
        <f>Comparables!O51</f>
        <v>0</v>
      </c>
      <c r="AB26" s="1024"/>
      <c r="AC26" s="1025"/>
      <c r="AD26" s="998">
        <f>Comparables!C47</f>
        <v>0</v>
      </c>
      <c r="AE26" s="999"/>
      <c r="AF26" s="1036"/>
      <c r="AG26" s="994">
        <f>Comparables!F47</f>
        <v>0</v>
      </c>
      <c r="AH26" s="995"/>
      <c r="AI26" s="1035"/>
      <c r="AJ26" s="994">
        <f>Comparables!H47</f>
        <v>0</v>
      </c>
      <c r="AK26" s="1035"/>
      <c r="AL26" s="998">
        <f>Comparables!Q61</f>
        <v>0</v>
      </c>
      <c r="AM26" s="999"/>
      <c r="AN26" s="999"/>
      <c r="AO26" s="265"/>
      <c r="AP26" s="280"/>
      <c r="AQ26" s="281"/>
      <c r="AR26" s="61">
        <f t="shared" si="0"/>
      </c>
      <c r="AS26" s="61">
        <f t="shared" si="1"/>
      </c>
      <c r="AT26" s="61">
        <f t="shared" si="2"/>
      </c>
      <c r="AU26" s="61">
        <f t="shared" si="3"/>
      </c>
      <c r="AV26" s="61">
        <f t="shared" si="4"/>
      </c>
      <c r="AW26" s="61">
        <f t="shared" si="5"/>
      </c>
    </row>
    <row r="27" spans="1:49" s="159" customFormat="1" ht="10.5" customHeight="1">
      <c r="A27" s="281"/>
      <c r="B27" s="1055">
        <v>4</v>
      </c>
      <c r="C27" s="1056">
        <v>4</v>
      </c>
      <c r="D27" s="1050">
        <f>Comparables!K63</f>
        <v>0</v>
      </c>
      <c r="E27" s="1050"/>
      <c r="F27" s="1050"/>
      <c r="G27" s="1050"/>
      <c r="H27" s="1050"/>
      <c r="I27" s="1050"/>
      <c r="J27" s="1050"/>
      <c r="K27" s="1051"/>
      <c r="L27" s="1059">
        <f>Comparables!K67</f>
        <v>0</v>
      </c>
      <c r="M27" s="1060"/>
      <c r="N27" s="1061"/>
      <c r="O27" s="260" t="str">
        <f>IF(Comparables!C65="COMPRAVENTA","CV",IF(Comparables!C65="PROMESA COMPRAVENTA","PC",IF(Comparables!C65="OFERTA COMPROBADA","OC",IF(Comparables!C65="OFERTA SIN COMPROBAR","OS",IF(Comparables!C65="REMATE","RE",IF(Comparables!C65="TASACIÓN","TA",IF(Comparables!C65="PERITAJE EXPROPIACION","PE",IF(Comparables!C65="PRESUP./PROPUESTA","PR","OT"))))))))</f>
        <v>OT</v>
      </c>
      <c r="P27" s="261">
        <f>IF(Comparables!P64="INDIVIDUAL AISLADA","IA",IF(Comparables!P64="INDIVIDUAL PAREADA","IP",IF(Comparables!P64="CONJUNTO","CJ",IF(Comparables!P64="CONDOMINIO","CD",IF(Comparables!P64="EDIFICIO AISLADO","EA",IF(Comparables!P64="EDIFICIO CONTINUO","EC",IF(Comparables!P64="MULTIBLOCK","MU",0)))))))</f>
        <v>0</v>
      </c>
      <c r="Q27" s="1043">
        <f>Comparables!B71</f>
        <v>0</v>
      </c>
      <c r="R27" s="1044"/>
      <c r="S27" s="1045"/>
      <c r="T27" s="1029">
        <f>Comparables!C71</f>
        <v>0</v>
      </c>
      <c r="U27" s="1030"/>
      <c r="V27" s="263">
        <f>Comparables!Q71</f>
        <v>0</v>
      </c>
      <c r="W27" s="264">
        <f>Comparables!R71</f>
        <v>0</v>
      </c>
      <c r="X27" s="1023">
        <f>Comparables!E71</f>
        <v>0</v>
      </c>
      <c r="Y27" s="1024"/>
      <c r="Z27" s="1025"/>
      <c r="AA27" s="1023">
        <f>Comparables!O71</f>
        <v>0</v>
      </c>
      <c r="AB27" s="1024"/>
      <c r="AC27" s="1025"/>
      <c r="AD27" s="998">
        <f>Comparables!C67</f>
        <v>0</v>
      </c>
      <c r="AE27" s="999"/>
      <c r="AF27" s="1036"/>
      <c r="AG27" s="994">
        <f>Comparables!F67</f>
        <v>0</v>
      </c>
      <c r="AH27" s="995"/>
      <c r="AI27" s="1035"/>
      <c r="AJ27" s="994">
        <f>Comparables!H67</f>
        <v>0</v>
      </c>
      <c r="AK27" s="1035"/>
      <c r="AL27" s="998">
        <f>Comparables!Q81</f>
        <v>0</v>
      </c>
      <c r="AM27" s="999"/>
      <c r="AN27" s="999"/>
      <c r="AO27" s="265"/>
      <c r="AP27" s="280"/>
      <c r="AQ27" s="281"/>
      <c r="AR27" s="61">
        <f t="shared" si="0"/>
      </c>
      <c r="AS27" s="61">
        <f t="shared" si="1"/>
      </c>
      <c r="AT27" s="61">
        <f t="shared" si="2"/>
      </c>
      <c r="AU27" s="61">
        <f t="shared" si="3"/>
      </c>
      <c r="AV27" s="61">
        <f t="shared" si="4"/>
      </c>
      <c r="AW27" s="61">
        <f t="shared" si="5"/>
      </c>
    </row>
    <row r="28" spans="1:49" s="159" customFormat="1" ht="10.5" customHeight="1">
      <c r="A28" s="281"/>
      <c r="B28" s="1055">
        <v>5</v>
      </c>
      <c r="C28" s="1056">
        <v>5</v>
      </c>
      <c r="D28" s="1050">
        <f>Comparables!K83</f>
        <v>0</v>
      </c>
      <c r="E28" s="1050"/>
      <c r="F28" s="1050"/>
      <c r="G28" s="1050"/>
      <c r="H28" s="1050"/>
      <c r="I28" s="1050"/>
      <c r="J28" s="1050"/>
      <c r="K28" s="1051"/>
      <c r="L28" s="1052">
        <f>Comparables!K87</f>
        <v>0</v>
      </c>
      <c r="M28" s="1053"/>
      <c r="N28" s="1054"/>
      <c r="O28" s="260" t="str">
        <f>IF(Comparables!C85="COMPRAVENTA","CV",IF(Comparables!C85="PROMESA COMPRAVENTA","PC",IF(Comparables!C85="OFERTA COMPROBADA","OC",IF(Comparables!C85="OFERTA SIN COMPROBAR","OS",IF(Comparables!C85="REMATE","RE",IF(Comparables!C85="TASACIÓN","TA",IF(Comparables!C85="PERITAJE EXPROPIACION","PE",IF(Comparables!C85="PRESUP./PROPUESTA","PR","OT"))))))))</f>
        <v>OT</v>
      </c>
      <c r="P28" s="261">
        <f>IF(Comparables!P84="INDIVIDUAL AISLADA","IA",IF(Comparables!P84="INDIVIDUAL PAREADA","IP",IF(Comparables!P84="CONJUNTO","CJ",IF(Comparables!P84="CONDOMINIO","CD",IF(Comparables!P84="EDIFICIO AISLADO","EA",IF(Comparables!P84="EDIFICIO CONTINUO","EC",IF(Comparables!P84="MULTIBLOCK","MU",0)))))))</f>
        <v>0</v>
      </c>
      <c r="Q28" s="1043">
        <f>Comparables!B91</f>
        <v>0</v>
      </c>
      <c r="R28" s="1044"/>
      <c r="S28" s="1045"/>
      <c r="T28" s="1029">
        <f>Comparables!C91</f>
        <v>0</v>
      </c>
      <c r="U28" s="1030"/>
      <c r="V28" s="263">
        <f>Comparables!Q91</f>
        <v>0</v>
      </c>
      <c r="W28" s="264">
        <f>Comparables!R91</f>
        <v>0</v>
      </c>
      <c r="X28" s="1023">
        <f>Comparables!E91</f>
        <v>0</v>
      </c>
      <c r="Y28" s="1024"/>
      <c r="Z28" s="1025"/>
      <c r="AA28" s="1023">
        <f>Comparables!O91</f>
        <v>0</v>
      </c>
      <c r="AB28" s="1024"/>
      <c r="AC28" s="1025"/>
      <c r="AD28" s="998">
        <f>Comparables!C87</f>
        <v>0</v>
      </c>
      <c r="AE28" s="999"/>
      <c r="AF28" s="1036"/>
      <c r="AG28" s="994">
        <f>Comparables!F87</f>
        <v>0</v>
      </c>
      <c r="AH28" s="995"/>
      <c r="AI28" s="1035"/>
      <c r="AJ28" s="994">
        <f>Comparables!H87</f>
        <v>0</v>
      </c>
      <c r="AK28" s="1035"/>
      <c r="AL28" s="998">
        <f>Comparables!Q101</f>
        <v>0</v>
      </c>
      <c r="AM28" s="999"/>
      <c r="AN28" s="999"/>
      <c r="AO28" s="265"/>
      <c r="AP28" s="280"/>
      <c r="AQ28" s="281"/>
      <c r="AR28" s="61">
        <f t="shared" si="0"/>
      </c>
      <c r="AS28" s="61">
        <f t="shared" si="1"/>
      </c>
      <c r="AT28" s="61">
        <f t="shared" si="2"/>
      </c>
      <c r="AU28" s="61">
        <f t="shared" si="3"/>
      </c>
      <c r="AV28" s="61">
        <f t="shared" si="4"/>
      </c>
      <c r="AW28" s="61">
        <f t="shared" si="5"/>
      </c>
    </row>
    <row r="29" spans="1:49" s="159" customFormat="1" ht="10.5" customHeight="1">
      <c r="A29" s="281"/>
      <c r="B29" s="1055">
        <v>6</v>
      </c>
      <c r="C29" s="1056">
        <v>5</v>
      </c>
      <c r="D29" s="1050">
        <f>Comparables!K103</f>
        <v>0</v>
      </c>
      <c r="E29" s="1050"/>
      <c r="F29" s="1050"/>
      <c r="G29" s="1050"/>
      <c r="H29" s="1050"/>
      <c r="I29" s="1050"/>
      <c r="J29" s="1050"/>
      <c r="K29" s="1051"/>
      <c r="L29" s="1052">
        <f>Comparables!K107</f>
        <v>0</v>
      </c>
      <c r="M29" s="1053"/>
      <c r="N29" s="1054"/>
      <c r="O29" s="260" t="str">
        <f>IF(Comparables!C105="COMPRAVENTA","CV",IF(Comparables!C105="PROMESA COMPRAVENTA","PC",IF(Comparables!C105="OFERTA COMPROBADA","OC",IF(Comparables!C105="OFERTA SIN COMPROBAR","OS",IF(Comparables!C105="REMATE","RE",IF(Comparables!C105="TASACIÓN","TA",IF(Comparables!C105="PERITAJE EXPROPIACION","PE",IF(Comparables!C105="PRESUP./PROPUESTA","PR","OT"))))))))</f>
        <v>OT</v>
      </c>
      <c r="P29" s="261">
        <f>IF(Comparables!P104="INDIVIDUAL AISLADA","IA",IF(Comparables!P104="INDIVIDUAL PAREADA","IP",IF(Comparables!P104="CONJUNTO","CJ",IF(Comparables!P104="CONDOMINIO","CD",IF(Comparables!P104="EDIFICIO AISLADO","EA",IF(Comparables!P104="EDIFICIO CONTINUO","EC",IF(Comparables!P104="MULTIBLOCK","MU",0)))))))</f>
        <v>0</v>
      </c>
      <c r="Q29" s="1043">
        <f>Comparables!B111</f>
        <v>0</v>
      </c>
      <c r="R29" s="1044"/>
      <c r="S29" s="1045"/>
      <c r="T29" s="1029">
        <f>Comparables!C111</f>
        <v>0</v>
      </c>
      <c r="U29" s="1030"/>
      <c r="V29" s="263">
        <f>Comparables!Q111</f>
        <v>0</v>
      </c>
      <c r="W29" s="264">
        <f>Comparables!R111</f>
        <v>0</v>
      </c>
      <c r="X29" s="1023">
        <f>Comparables!E111</f>
        <v>0</v>
      </c>
      <c r="Y29" s="1024"/>
      <c r="Z29" s="1025"/>
      <c r="AA29" s="1023">
        <f>Comparables!O111</f>
        <v>0</v>
      </c>
      <c r="AB29" s="1024"/>
      <c r="AC29" s="1025"/>
      <c r="AD29" s="998">
        <f>Comparables!C107</f>
        <v>0</v>
      </c>
      <c r="AE29" s="999"/>
      <c r="AF29" s="1036"/>
      <c r="AG29" s="994">
        <f>Comparables!F107</f>
        <v>0</v>
      </c>
      <c r="AH29" s="995"/>
      <c r="AI29" s="1035"/>
      <c r="AJ29" s="994">
        <f>Comparables!H107</f>
        <v>0</v>
      </c>
      <c r="AK29" s="1035"/>
      <c r="AL29" s="998">
        <f>Comparables!Q121</f>
        <v>0</v>
      </c>
      <c r="AM29" s="999"/>
      <c r="AN29" s="999"/>
      <c r="AO29" s="265"/>
      <c r="AP29" s="280"/>
      <c r="AQ29" s="281"/>
      <c r="AR29" s="61">
        <f t="shared" si="0"/>
      </c>
      <c r="AS29" s="61">
        <f t="shared" si="1"/>
      </c>
      <c r="AT29" s="61">
        <f t="shared" si="2"/>
      </c>
      <c r="AU29" s="61">
        <f t="shared" si="3"/>
      </c>
      <c r="AV29" s="61">
        <f t="shared" si="4"/>
      </c>
      <c r="AW29" s="61">
        <f t="shared" si="5"/>
      </c>
    </row>
    <row r="30" spans="2:41" s="79" customFormat="1" ht="10.5" customHeight="1">
      <c r="B30" s="382"/>
      <c r="C30" s="495" t="s">
        <v>90</v>
      </c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4"/>
      <c r="R30" s="385"/>
      <c r="S30" s="385"/>
      <c r="T30" s="384"/>
      <c r="U30" s="384"/>
      <c r="V30" s="384"/>
      <c r="W30" s="386" t="s">
        <v>205</v>
      </c>
      <c r="X30" s="1023">
        <f>IF(ISERR(SUM(X24:X29)/COUNTIF(X24:X29,"&gt;0")),0,SUM(X24:X29)/COUNTIF(X24:X29,"&gt;0"))</f>
        <v>0</v>
      </c>
      <c r="Y30" s="1024"/>
      <c r="Z30" s="1025"/>
      <c r="AA30" s="1023">
        <f>IF(ISERR(SUM(AA24:AA29)/COUNTIF(AA24:AA29,"&gt;0")),0,SUM(AA24:AA29)/COUNTIF(AA24:AA29,"&gt;0"))</f>
        <v>0</v>
      </c>
      <c r="AB30" s="1024"/>
      <c r="AC30" s="1025"/>
      <c r="AD30" s="998">
        <f>IF(ISERR(SUM(AD24:AD29)/COUNTIF(AD24:AD29,"&gt;0")),0,SUM(AD24:AD29)/COUNTIF(AD24:AD29,"&gt;0"))</f>
        <v>0</v>
      </c>
      <c r="AE30" s="999"/>
      <c r="AF30" s="1036"/>
      <c r="AG30" s="994">
        <f>IF(ISERR(SUM(AG24:AG29)/COUNTIF(AG24:AG29,"&gt;0")),0,SUM(AG24:AG29)/COUNTIF(AG24:AG29,"&gt;0"))</f>
        <v>0</v>
      </c>
      <c r="AH30" s="995"/>
      <c r="AI30" s="1035"/>
      <c r="AJ30" s="994">
        <f>IF(ISERR(SUM(AJ24:AJ29)/COUNTIF(AJ24:AJ29,"&gt;0")),0,SUM(AJ24:AJ29)/COUNTIF(AJ24:AJ29,"&gt;0"))</f>
        <v>0</v>
      </c>
      <c r="AK30" s="995"/>
      <c r="AL30" s="998">
        <f>IF(ISERR(SUM(AL24:AL29)/COUNTIF(AL24:AL29,"&gt;0")),0,SUM(AL24:AL29)/COUNTIF(AL24:AL29,"&gt;0"))</f>
        <v>0</v>
      </c>
      <c r="AM30" s="999"/>
      <c r="AN30" s="999"/>
      <c r="AO30" s="265"/>
    </row>
    <row r="31" spans="2:49" s="79" customFormat="1" ht="10.5" customHeight="1">
      <c r="B31" s="75"/>
      <c r="C31" s="711" t="s">
        <v>464</v>
      </c>
      <c r="D31" s="74"/>
      <c r="E31" s="74"/>
      <c r="F31" s="74"/>
      <c r="G31" s="704">
        <v>95</v>
      </c>
      <c r="H31" s="85" t="s">
        <v>250</v>
      </c>
      <c r="I31" s="74"/>
      <c r="J31" s="74"/>
      <c r="K31" s="74"/>
      <c r="L31" s="74"/>
      <c r="M31" s="74"/>
      <c r="N31" s="74"/>
      <c r="Q31" s="387"/>
      <c r="R31" s="388"/>
      <c r="S31" s="388"/>
      <c r="T31" s="387"/>
      <c r="U31" s="387"/>
      <c r="V31" s="387"/>
      <c r="W31" s="389" t="s">
        <v>270</v>
      </c>
      <c r="X31" s="1017">
        <f>IF(AR31&lt;=2,0,STDEV(AR24:AR29))</f>
        <v>0</v>
      </c>
      <c r="Y31" s="1018"/>
      <c r="Z31" s="1019"/>
      <c r="AA31" s="1017">
        <f>IF(AS31&lt;=2,0,STDEV(AS24:AS29))</f>
        <v>0</v>
      </c>
      <c r="AB31" s="1018"/>
      <c r="AC31" s="1019"/>
      <c r="AD31" s="1017">
        <f>IF(AT31&lt;=2,0,STDEV(AT24:AT29))</f>
        <v>0</v>
      </c>
      <c r="AE31" s="1018"/>
      <c r="AF31" s="1019"/>
      <c r="AG31" s="1017">
        <f>IF(AU31&lt;=2,0,STDEV(AU24:AU29))</f>
        <v>0</v>
      </c>
      <c r="AH31" s="1018"/>
      <c r="AI31" s="1019"/>
      <c r="AJ31" s="994">
        <f>IF(AV31&lt;=2,0,STDEV(AV24:AV29))</f>
        <v>0</v>
      </c>
      <c r="AK31" s="995"/>
      <c r="AL31" s="994">
        <f>IF(AW31&lt;=2,0,STDEV(AW24:AW29))</f>
        <v>0</v>
      </c>
      <c r="AM31" s="995"/>
      <c r="AN31" s="995"/>
      <c r="AO31" s="390"/>
      <c r="AP31" s="391"/>
      <c r="AQ31" s="392" t="s">
        <v>271</v>
      </c>
      <c r="AR31" s="393">
        <f>COUNTIF(X$24:X$29,"&gt;0")</f>
        <v>0</v>
      </c>
      <c r="AS31" s="394">
        <f>COUNTIF(AA$24:AA$29,"&gt;0")</f>
        <v>0</v>
      </c>
      <c r="AT31" s="394">
        <f>COUNTIF(AD$24:AD$29,"&gt;0")</f>
        <v>0</v>
      </c>
      <c r="AU31" s="394">
        <f>COUNTIF(AG$24:AG$29,"&gt;0")</f>
        <v>0</v>
      </c>
      <c r="AV31" s="394">
        <f>COUNTIF(AJ$24:AJ$29,"&gt;0")</f>
        <v>0</v>
      </c>
      <c r="AW31" s="394">
        <f>COUNTIF(AL$24:AL$29,"&gt;0")</f>
        <v>0</v>
      </c>
    </row>
    <row r="32" spans="2:49" s="79" customFormat="1" ht="10.5" customHeight="1">
      <c r="B32" s="380"/>
      <c r="C32" s="381"/>
      <c r="D32" s="494" t="s">
        <v>276</v>
      </c>
      <c r="E32" s="1026">
        <f>Tasación!G53</f>
        <v>0</v>
      </c>
      <c r="F32" s="1026"/>
      <c r="G32" s="1026"/>
      <c r="H32" s="1026"/>
      <c r="I32" s="237"/>
      <c r="J32" s="237"/>
      <c r="K32" s="237"/>
      <c r="L32" s="237"/>
      <c r="M32" s="237"/>
      <c r="N32" s="237"/>
      <c r="O32" s="237"/>
      <c r="P32" s="237"/>
      <c r="Q32" s="685"/>
      <c r="R32" s="687"/>
      <c r="S32" s="396"/>
      <c r="T32" s="395"/>
      <c r="U32" s="397"/>
      <c r="V32" s="395"/>
      <c r="W32" s="493" t="str">
        <f>CONCATENATE("Margen Franja Valor ( ",G31," % nivel de confianza) :")</f>
        <v>Margen Franja Valor ( 95 % nivel de confianza) :</v>
      </c>
      <c r="X32" s="1000">
        <f>IF(AR31&lt;=4,0,AR32*X31/SQRT(AR31))</f>
        <v>0</v>
      </c>
      <c r="Y32" s="1001"/>
      <c r="Z32" s="1002"/>
      <c r="AA32" s="1000">
        <f>IF(AS31&lt;=4,0,AS32*AA31/SQRT(AS31))</f>
        <v>0</v>
      </c>
      <c r="AB32" s="1001"/>
      <c r="AC32" s="1002"/>
      <c r="AD32" s="1000">
        <f>IF(AT31&lt;=4,0,AT32*AD31/SQRT(AT31))</f>
        <v>0</v>
      </c>
      <c r="AE32" s="1001"/>
      <c r="AF32" s="1002"/>
      <c r="AG32" s="1000">
        <f>IF(AU31&lt;=4,0,AU32*AG31/SQRT(AU31))</f>
        <v>0</v>
      </c>
      <c r="AH32" s="1001"/>
      <c r="AI32" s="1002"/>
      <c r="AJ32" s="1021">
        <f>IF(AV31&lt;=4,0,AV32*AJ31/SQRT(AV31))</f>
        <v>0</v>
      </c>
      <c r="AK32" s="1022"/>
      <c r="AL32" s="1021">
        <f>IF(AW31&lt;=4,0,AW32*AL31/SQRT(AW31))</f>
        <v>0</v>
      </c>
      <c r="AM32" s="1022"/>
      <c r="AN32" s="1022"/>
      <c r="AO32" s="398"/>
      <c r="AP32" s="391"/>
      <c r="AQ32" s="683" t="s">
        <v>459</v>
      </c>
      <c r="AR32" s="684">
        <f aca="true" t="shared" si="6" ref="AR32:AW32">IF(AR31=0,1,TINV($AR$34,AR31-1))</f>
        <v>1</v>
      </c>
      <c r="AS32" s="684">
        <f t="shared" si="6"/>
        <v>1</v>
      </c>
      <c r="AT32" s="684">
        <f t="shared" si="6"/>
        <v>1</v>
      </c>
      <c r="AU32" s="684">
        <f t="shared" si="6"/>
        <v>1</v>
      </c>
      <c r="AV32" s="684">
        <f t="shared" si="6"/>
        <v>1</v>
      </c>
      <c r="AW32" s="684">
        <f t="shared" si="6"/>
        <v>1</v>
      </c>
    </row>
    <row r="33" spans="2:41" s="84" customFormat="1" ht="2.25" customHeight="1">
      <c r="B33" s="83"/>
      <c r="O33" s="85"/>
      <c r="P33" s="85"/>
      <c r="Q33" s="85"/>
      <c r="R33" s="85"/>
      <c r="S33" s="85"/>
      <c r="T33" s="85"/>
      <c r="U33" s="85"/>
      <c r="AK33" s="1046">
        <f>IF(AL30&gt;0,J37/AL30,0)</f>
        <v>0</v>
      </c>
      <c r="AL33" s="1046"/>
      <c r="AM33" s="1046"/>
      <c r="AN33" s="1046"/>
      <c r="AO33" s="86"/>
    </row>
    <row r="34" spans="2:44" s="84" customFormat="1" ht="10.5" customHeight="1">
      <c r="B34" s="83"/>
      <c r="C34" s="191" t="s">
        <v>139</v>
      </c>
      <c r="O34" s="85"/>
      <c r="P34" s="85"/>
      <c r="Q34" s="85"/>
      <c r="R34" s="85"/>
      <c r="S34" s="85"/>
      <c r="T34" s="85"/>
      <c r="U34" s="85"/>
      <c r="AJ34" s="311" t="s">
        <v>499</v>
      </c>
      <c r="AK34" s="1020"/>
      <c r="AL34" s="1020"/>
      <c r="AM34" s="1020"/>
      <c r="AN34" s="1020"/>
      <c r="AO34" s="86"/>
      <c r="AQ34" s="686" t="s">
        <v>272</v>
      </c>
      <c r="AR34" s="399">
        <f>(100-G31)/100</f>
        <v>0.05</v>
      </c>
    </row>
    <row r="35" spans="1:43" s="81" customFormat="1" ht="35.25" customHeight="1">
      <c r="A35" s="84"/>
      <c r="B35" s="83"/>
      <c r="C35" s="911"/>
      <c r="D35" s="1034"/>
      <c r="E35" s="1034"/>
      <c r="F35" s="1034"/>
      <c r="G35" s="1034"/>
      <c r="H35" s="1034"/>
      <c r="I35" s="1034"/>
      <c r="J35" s="1034"/>
      <c r="K35" s="1034"/>
      <c r="L35" s="1034"/>
      <c r="M35" s="1034"/>
      <c r="N35" s="1034"/>
      <c r="O35" s="1034"/>
      <c r="P35" s="1034"/>
      <c r="Q35" s="1034"/>
      <c r="R35" s="1034"/>
      <c r="S35" s="1034"/>
      <c r="T35" s="1034"/>
      <c r="U35" s="1034"/>
      <c r="V35" s="1034"/>
      <c r="W35" s="1034"/>
      <c r="X35" s="1034"/>
      <c r="Y35" s="1034"/>
      <c r="Z35" s="1034"/>
      <c r="AA35" s="1034"/>
      <c r="AB35" s="1034"/>
      <c r="AC35" s="1034"/>
      <c r="AD35" s="1034"/>
      <c r="AE35" s="1034"/>
      <c r="AF35" s="1034"/>
      <c r="AG35" s="1034"/>
      <c r="AH35" s="1034"/>
      <c r="AI35" s="1034"/>
      <c r="AJ35" s="1034"/>
      <c r="AK35" s="1034"/>
      <c r="AL35" s="1034"/>
      <c r="AM35" s="1034"/>
      <c r="AN35" s="1034"/>
      <c r="AO35" s="86"/>
      <c r="AP35" s="84"/>
      <c r="AQ35" s="84"/>
    </row>
    <row r="36" spans="2:41" s="74" customFormat="1" ht="2.25" customHeight="1" thickBot="1">
      <c r="B36" s="75"/>
      <c r="D36" s="76"/>
      <c r="E36" s="76"/>
      <c r="F36" s="76"/>
      <c r="I36" s="73"/>
      <c r="M36" s="73"/>
      <c r="O36" s="77"/>
      <c r="P36" s="77"/>
      <c r="Q36" s="77"/>
      <c r="AG36" s="77"/>
      <c r="AO36" s="78"/>
    </row>
    <row r="37" spans="1:41" s="64" customFormat="1" ht="18" customHeight="1" thickBot="1">
      <c r="A37" s="87"/>
      <c r="B37" s="400"/>
      <c r="C37" s="402"/>
      <c r="D37" s="90"/>
      <c r="E37" s="90"/>
      <c r="F37" s="89"/>
      <c r="G37" s="89"/>
      <c r="H37" s="89"/>
      <c r="I37" s="843" t="s">
        <v>273</v>
      </c>
      <c r="J37" s="1031">
        <f>Tasación!V53</f>
        <v>0</v>
      </c>
      <c r="K37" s="1031"/>
      <c r="L37" s="1031"/>
      <c r="M37" s="508" t="s">
        <v>371</v>
      </c>
      <c r="N37" s="403" t="s">
        <v>17</v>
      </c>
      <c r="O37" s="1032">
        <f>Tasación!Z53</f>
        <v>0</v>
      </c>
      <c r="P37" s="1032"/>
      <c r="Q37" s="1032"/>
      <c r="R37" s="1032"/>
      <c r="S37" s="840" t="s">
        <v>374</v>
      </c>
      <c r="T37" s="841"/>
      <c r="U37" s="841"/>
      <c r="V37" s="841"/>
      <c r="W37" s="842"/>
      <c r="X37" s="841"/>
      <c r="Y37" s="841"/>
      <c r="Z37" s="839" t="s">
        <v>373</v>
      </c>
      <c r="AA37" s="1033"/>
      <c r="AB37" s="1033"/>
      <c r="AC37" s="1033"/>
      <c r="AD37" s="1033"/>
      <c r="AE37" s="88"/>
      <c r="AF37" s="192"/>
      <c r="AG37" s="401"/>
      <c r="AH37" s="192"/>
      <c r="AI37" s="404"/>
      <c r="AJ37" s="839" t="s">
        <v>372</v>
      </c>
      <c r="AK37" s="1027"/>
      <c r="AL37" s="1028"/>
      <c r="AM37" s="1028"/>
      <c r="AN37" s="1028"/>
      <c r="AO37" s="705"/>
    </row>
    <row r="38" spans="1:42" s="22" customFormat="1" ht="12.75" customHeight="1">
      <c r="A38" s="11"/>
      <c r="B38" s="693"/>
      <c r="C38" s="694" t="s">
        <v>141</v>
      </c>
      <c r="D38" s="695"/>
      <c r="E38" s="695"/>
      <c r="F38" s="695"/>
      <c r="G38" s="695"/>
      <c r="H38" s="695"/>
      <c r="I38" s="695"/>
      <c r="J38" s="695"/>
      <c r="K38" s="695"/>
      <c r="L38" s="695"/>
      <c r="M38" s="695"/>
      <c r="N38" s="696"/>
      <c r="O38" s="697"/>
      <c r="P38" s="697"/>
      <c r="Q38" s="697"/>
      <c r="R38" s="697"/>
      <c r="S38" s="697"/>
      <c r="T38" s="697"/>
      <c r="U38" s="697"/>
      <c r="V38" s="697"/>
      <c r="W38" s="697"/>
      <c r="X38" s="696"/>
      <c r="Y38" s="696"/>
      <c r="Z38" s="696"/>
      <c r="AA38" s="698"/>
      <c r="AB38" s="699"/>
      <c r="AC38" s="697"/>
      <c r="AD38" s="697"/>
      <c r="AE38" s="697"/>
      <c r="AF38" s="696"/>
      <c r="AG38" s="696"/>
      <c r="AH38" s="696"/>
      <c r="AI38" s="696"/>
      <c r="AJ38" s="696"/>
      <c r="AK38" s="699"/>
      <c r="AL38" s="697"/>
      <c r="AM38" s="697"/>
      <c r="AN38" s="697"/>
      <c r="AO38" s="700"/>
      <c r="AP38" s="91"/>
    </row>
    <row r="39" spans="1:43" ht="2.25" customHeight="1">
      <c r="A39" s="271"/>
      <c r="B39" s="275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2"/>
      <c r="S39" s="272"/>
      <c r="T39" s="272"/>
      <c r="U39" s="272"/>
      <c r="V39" s="271"/>
      <c r="W39" s="271"/>
      <c r="X39" s="271"/>
      <c r="Y39" s="76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2"/>
      <c r="AO39" s="273"/>
      <c r="AP39" s="271"/>
      <c r="AQ39" s="271"/>
    </row>
    <row r="40" spans="1:43" ht="37.5" customHeight="1">
      <c r="A40" s="271"/>
      <c r="B40" s="275"/>
      <c r="C40" s="882"/>
      <c r="D40" s="882"/>
      <c r="E40" s="882"/>
      <c r="F40" s="882"/>
      <c r="G40" s="882"/>
      <c r="H40" s="882"/>
      <c r="I40" s="882"/>
      <c r="J40" s="882"/>
      <c r="K40" s="882"/>
      <c r="L40" s="882"/>
      <c r="M40" s="882"/>
      <c r="N40" s="882"/>
      <c r="O40" s="882"/>
      <c r="P40" s="882"/>
      <c r="Q40" s="882"/>
      <c r="R40" s="882"/>
      <c r="S40" s="882"/>
      <c r="T40" s="882"/>
      <c r="U40" s="882"/>
      <c r="V40" s="882"/>
      <c r="W40" s="882"/>
      <c r="X40" s="882"/>
      <c r="Y40" s="882"/>
      <c r="Z40" s="882"/>
      <c r="AA40" s="882"/>
      <c r="AB40" s="882"/>
      <c r="AC40" s="882"/>
      <c r="AD40" s="882"/>
      <c r="AE40" s="882"/>
      <c r="AF40" s="882"/>
      <c r="AG40" s="882"/>
      <c r="AH40" s="882"/>
      <c r="AI40" s="882"/>
      <c r="AJ40" s="882"/>
      <c r="AK40" s="882"/>
      <c r="AL40" s="882"/>
      <c r="AM40" s="882"/>
      <c r="AN40" s="882"/>
      <c r="AO40" s="273"/>
      <c r="AP40" s="271"/>
      <c r="AQ40" s="271"/>
    </row>
    <row r="41" spans="1:43" ht="2.25" customHeight="1">
      <c r="A41" s="271"/>
      <c r="B41" s="509"/>
      <c r="C41" s="510"/>
      <c r="D41" s="510"/>
      <c r="E41" s="510"/>
      <c r="F41" s="510"/>
      <c r="G41" s="510"/>
      <c r="H41" s="510"/>
      <c r="I41" s="510"/>
      <c r="J41" s="510"/>
      <c r="K41" s="510"/>
      <c r="L41" s="510"/>
      <c r="M41" s="510"/>
      <c r="N41" s="510"/>
      <c r="O41" s="510"/>
      <c r="P41" s="510"/>
      <c r="Q41" s="510"/>
      <c r="R41" s="510"/>
      <c r="S41" s="510"/>
      <c r="T41" s="510"/>
      <c r="U41" s="510"/>
      <c r="V41" s="510"/>
      <c r="W41" s="510"/>
      <c r="X41" s="510"/>
      <c r="Y41" s="510"/>
      <c r="Z41" s="510"/>
      <c r="AA41" s="510"/>
      <c r="AB41" s="510"/>
      <c r="AC41" s="510"/>
      <c r="AD41" s="510"/>
      <c r="AE41" s="510"/>
      <c r="AF41" s="510"/>
      <c r="AG41" s="510"/>
      <c r="AH41" s="510"/>
      <c r="AI41" s="510"/>
      <c r="AJ41" s="510"/>
      <c r="AK41" s="510"/>
      <c r="AL41" s="510"/>
      <c r="AM41" s="510"/>
      <c r="AN41" s="510"/>
      <c r="AO41" s="510"/>
      <c r="AP41" s="270"/>
      <c r="AQ41" s="271"/>
    </row>
    <row r="42" spans="1:42" s="22" customFormat="1" ht="12.75" customHeight="1">
      <c r="A42" s="11"/>
      <c r="B42" s="693"/>
      <c r="C42" s="694" t="s">
        <v>165</v>
      </c>
      <c r="D42" s="695"/>
      <c r="E42" s="695"/>
      <c r="F42" s="695"/>
      <c r="G42" s="695"/>
      <c r="H42" s="695"/>
      <c r="I42" s="695"/>
      <c r="J42" s="695"/>
      <c r="K42" s="695"/>
      <c r="L42" s="695"/>
      <c r="M42" s="695"/>
      <c r="N42" s="696"/>
      <c r="O42" s="697"/>
      <c r="P42" s="697"/>
      <c r="Q42" s="697"/>
      <c r="R42" s="697"/>
      <c r="S42" s="697"/>
      <c r="T42" s="697"/>
      <c r="U42" s="697"/>
      <c r="V42" s="697"/>
      <c r="W42" s="697"/>
      <c r="X42" s="696"/>
      <c r="Y42" s="696"/>
      <c r="Z42" s="696"/>
      <c r="AA42" s="698"/>
      <c r="AB42" s="699"/>
      <c r="AC42" s="697"/>
      <c r="AD42" s="697"/>
      <c r="AE42" s="697"/>
      <c r="AF42" s="696"/>
      <c r="AG42" s="696"/>
      <c r="AH42" s="696"/>
      <c r="AI42" s="696"/>
      <c r="AJ42" s="696"/>
      <c r="AK42" s="699"/>
      <c r="AL42" s="697"/>
      <c r="AM42" s="697"/>
      <c r="AN42" s="697"/>
      <c r="AO42" s="700"/>
      <c r="AP42" s="91"/>
    </row>
  </sheetData>
  <sheetProtection password="CC3D" sheet="1" scenarios="1"/>
  <mergeCells count="127">
    <mergeCell ref="AK15:AM15"/>
    <mergeCell ref="AK16:AM16"/>
    <mergeCell ref="AK17:AM17"/>
    <mergeCell ref="AK12:AM12"/>
    <mergeCell ref="H15:J15"/>
    <mergeCell ref="H16:J16"/>
    <mergeCell ref="H17:J17"/>
    <mergeCell ref="U13:W13"/>
    <mergeCell ref="U14:W14"/>
    <mergeCell ref="U15:W15"/>
    <mergeCell ref="U16:W16"/>
    <mergeCell ref="U17:W17"/>
    <mergeCell ref="H13:J13"/>
    <mergeCell ref="H14:J14"/>
    <mergeCell ref="P12:Y12"/>
    <mergeCell ref="AK13:AM13"/>
    <mergeCell ref="AK14:AM14"/>
    <mergeCell ref="AJ29:AK29"/>
    <mergeCell ref="AJ25:AK25"/>
    <mergeCell ref="AJ26:AK26"/>
    <mergeCell ref="AJ27:AK27"/>
    <mergeCell ref="AJ28:AK28"/>
    <mergeCell ref="Q29:S29"/>
    <mergeCell ref="Q27:S27"/>
    <mergeCell ref="Q25:S25"/>
    <mergeCell ref="B28:C28"/>
    <mergeCell ref="B29:C29"/>
    <mergeCell ref="B24:C24"/>
    <mergeCell ref="B25:C25"/>
    <mergeCell ref="B26:C26"/>
    <mergeCell ref="B27:C27"/>
    <mergeCell ref="L26:N26"/>
    <mergeCell ref="L27:N27"/>
    <mergeCell ref="D25:K25"/>
    <mergeCell ref="L24:N24"/>
    <mergeCell ref="D29:K29"/>
    <mergeCell ref="L28:N28"/>
    <mergeCell ref="L29:N29"/>
    <mergeCell ref="L25:N25"/>
    <mergeCell ref="D28:K28"/>
    <mergeCell ref="D26:K26"/>
    <mergeCell ref="D27:K27"/>
    <mergeCell ref="AA26:AC26"/>
    <mergeCell ref="Q26:S26"/>
    <mergeCell ref="T26:U26"/>
    <mergeCell ref="AK33:AN33"/>
    <mergeCell ref="AA27:AC27"/>
    <mergeCell ref="Q28:S28"/>
    <mergeCell ref="X26:Z26"/>
    <mergeCell ref="AG30:AI30"/>
    <mergeCell ref="X30:Z30"/>
    <mergeCell ref="AA30:AC30"/>
    <mergeCell ref="AD30:AF30"/>
    <mergeCell ref="H5:M5"/>
    <mergeCell ref="H6:M6"/>
    <mergeCell ref="H7:M7"/>
    <mergeCell ref="H12:O12"/>
    <mergeCell ref="AD29:AF29"/>
    <mergeCell ref="AD28:AF28"/>
    <mergeCell ref="T25:U25"/>
    <mergeCell ref="T27:U27"/>
    <mergeCell ref="T28:U28"/>
    <mergeCell ref="AH1:AO1"/>
    <mergeCell ref="AC2:AH2"/>
    <mergeCell ref="AK2:AO2"/>
    <mergeCell ref="H8:AN8"/>
    <mergeCell ref="AJ5:AN5"/>
    <mergeCell ref="AJ6:AN6"/>
    <mergeCell ref="AJ7:AN7"/>
    <mergeCell ref="U5:Y5"/>
    <mergeCell ref="U6:Y6"/>
    <mergeCell ref="U7:Y7"/>
    <mergeCell ref="AG26:AI26"/>
    <mergeCell ref="AG24:AI24"/>
    <mergeCell ref="AD26:AF26"/>
    <mergeCell ref="AD27:AF27"/>
    <mergeCell ref="AG27:AI27"/>
    <mergeCell ref="AG28:AI28"/>
    <mergeCell ref="AG29:AI29"/>
    <mergeCell ref="X25:Z25"/>
    <mergeCell ref="AA25:AC25"/>
    <mergeCell ref="AG25:AI25"/>
    <mergeCell ref="AD25:AF25"/>
    <mergeCell ref="X29:Z29"/>
    <mergeCell ref="AA29:AC29"/>
    <mergeCell ref="X27:Z27"/>
    <mergeCell ref="X28:Z28"/>
    <mergeCell ref="AA28:AC28"/>
    <mergeCell ref="E32:H32"/>
    <mergeCell ref="AK37:AN37"/>
    <mergeCell ref="C40:AN40"/>
    <mergeCell ref="T29:U29"/>
    <mergeCell ref="AG31:AI31"/>
    <mergeCell ref="J37:L37"/>
    <mergeCell ref="O37:R37"/>
    <mergeCell ref="AA37:AD37"/>
    <mergeCell ref="C35:AN35"/>
    <mergeCell ref="AD31:AF31"/>
    <mergeCell ref="AK34:AN34"/>
    <mergeCell ref="X31:Z31"/>
    <mergeCell ref="AA31:AC31"/>
    <mergeCell ref="AJ32:AK32"/>
    <mergeCell ref="AL31:AN31"/>
    <mergeCell ref="AL32:AN32"/>
    <mergeCell ref="AD32:AF32"/>
    <mergeCell ref="AG32:AI32"/>
    <mergeCell ref="X32:Z32"/>
    <mergeCell ref="AA32:AC32"/>
    <mergeCell ref="Q23:S23"/>
    <mergeCell ref="H19:AN19"/>
    <mergeCell ref="AB22:AM22"/>
    <mergeCell ref="AJ24:AK24"/>
    <mergeCell ref="T24:U24"/>
    <mergeCell ref="X24:Z24"/>
    <mergeCell ref="AA24:AC24"/>
    <mergeCell ref="AD24:AF24"/>
    <mergeCell ref="D24:K24"/>
    <mergeCell ref="Q24:S24"/>
    <mergeCell ref="AJ30:AK30"/>
    <mergeCell ref="AJ31:AK31"/>
    <mergeCell ref="AL24:AN24"/>
    <mergeCell ref="AL25:AN25"/>
    <mergeCell ref="AL26:AN26"/>
    <mergeCell ref="AL27:AN27"/>
    <mergeCell ref="AL28:AN28"/>
    <mergeCell ref="AL29:AN29"/>
    <mergeCell ref="AL30:AN30"/>
  </mergeCells>
  <conditionalFormatting sqref="T22">
    <cfRule type="expression" priority="1" dxfId="10" stopIfTrue="1">
      <formula>OR(AT31&lt;5,AU31&lt;5)</formula>
    </cfRule>
  </conditionalFormatting>
  <conditionalFormatting sqref="AO37">
    <cfRule type="cellIs" priority="2" dxfId="11" operator="equal" stopIfTrue="1">
      <formula>0</formula>
    </cfRule>
    <cfRule type="expression" priority="3" dxfId="10" stopIfTrue="1">
      <formula>OR(AO37&gt;=Z37,AO37&gt;=BC37)</formula>
    </cfRule>
  </conditionalFormatting>
  <conditionalFormatting sqref="AK34:AN34">
    <cfRule type="cellIs" priority="4" dxfId="1" operator="equal" stopIfTrue="1">
      <formula>0</formula>
    </cfRule>
  </conditionalFormatting>
  <conditionalFormatting sqref="AB22:AM22">
    <cfRule type="expression" priority="5" dxfId="10" stopIfTrue="1">
      <formula>$AR$31&lt;5</formula>
    </cfRule>
  </conditionalFormatting>
  <conditionalFormatting sqref="AJ5:AN7 AI7 U5:Y7 H12:Y12 H13:J17 H5:M7 U13:W17 AK12:AM17">
    <cfRule type="cellIs" priority="6" dxfId="0" operator="equal" stopIfTrue="1">
      <formula>0</formula>
    </cfRule>
  </conditionalFormatting>
  <conditionalFormatting sqref="AA37:AD37">
    <cfRule type="cellIs" priority="7" dxfId="11" operator="equal" stopIfTrue="1">
      <formula>0</formula>
    </cfRule>
    <cfRule type="expression" priority="8" dxfId="10" stopIfTrue="1">
      <formula>AA37&lt;J37*0.6</formula>
    </cfRule>
  </conditionalFormatting>
  <conditionalFormatting sqref="AK37:AN37">
    <cfRule type="cellIs" priority="9" dxfId="11" operator="equal" stopIfTrue="1">
      <formula>0</formula>
    </cfRule>
    <cfRule type="expression" priority="10" dxfId="10" stopIfTrue="1">
      <formula>AK37&gt;$J$37*1.4</formula>
    </cfRule>
  </conditionalFormatting>
  <dataValidations count="31">
    <dataValidation allowBlank="1" showInputMessage="1" showErrorMessage="1" promptTitle="Valor en UF" prompt="Propiedad" sqref="AD24:AF29"/>
    <dataValidation type="list" allowBlank="1" sqref="AJ5:AK5">
      <formula1>"EN DISMINUCION,EN AUMENTO,ESTABLE,INESTABLE"</formula1>
    </dataValidation>
    <dataValidation type="list" allowBlank="1" sqref="U6">
      <formula1>"NINGUNA,DEBIL,MEDIANA,FUERTE"</formula1>
    </dataValidation>
    <dataValidation type="list" allowBlank="1" sqref="H5:M5">
      <formula1>"BAJO,MEDIO-BAJO,MEDIO,MEDIO-ALTO,ALTO,INDUSTRIAL,COMERCIAL,EQUIP/SERV.,MIXTO"</formula1>
    </dataValidation>
    <dataValidation type="list" allowBlank="1" showInputMessage="1" showErrorMessage="1" sqref="AJ7:AL7">
      <formula1>"ALTO,MEDIANO,BAJO"</formula1>
    </dataValidation>
    <dataValidation type="list" allowBlank="1" sqref="H6">
      <formula1>"NINGUNA,DEBIL,MEDIANA,FUERTE,SOBREOFERTA"</formula1>
    </dataValidation>
    <dataValidation type="list" allowBlank="1" sqref="U5:V5">
      <formula1>"NINGUNO,DEBIL,MEDIANO,FUERTE"</formula1>
    </dataValidation>
    <dataValidation allowBlank="1" showInputMessage="1" showErrorMessage="1" promptTitle="Superficie Construida" prompt="En m2." sqref="AA24:AC29"/>
    <dataValidation allowBlank="1" showInputMessage="1" showErrorMessage="1" promptTitle="Superficie Terreno" prompt="En m2" sqref="X24:X29"/>
    <dataValidation allowBlank="1" showInputMessage="1" showErrorMessage="1" promptTitle="Valor en UF" prompt="Ajustado Total" sqref="AL24:AL29"/>
    <dataValidation allowBlank="1" showInputMessage="1" promptTitle="Hoja de largo ilimitado" prompt="Puede agregar más información bajo el área del Plano de Ubicación.&#10; &#10;Use la tecla de TABULACION para desplazarse en el Formulario" sqref="A1"/>
    <dataValidation type="list" allowBlank="1" sqref="AJ6 AL6:AN6">
      <formula1>"NINGUNA,ESCASA,MEDIANA,ALTA"</formula1>
    </dataValidation>
    <dataValidation allowBlank="1" showInputMessage="1" showErrorMessage="1" promptTitle="Relación Comparable v/s Propied." prompt=" " sqref="Q24:Q29 R24:S24"/>
    <dataValidation type="list" allowBlank="1" showInputMessage="1" showErrorMessage="1" sqref="H7 U7">
      <formula1>"MENOR A 3 MESES,DE 3 A 6 MESES,DE 6 A 12 MESES,DE 12 A 24 MESES,MAYOR A 24 MESES"</formula1>
    </dataValidation>
    <dataValidation allowBlank="1" showInputMessage="1" showErrorMessage="1" promptTitle="Valor UF/m2" prompt="Terreno o Construcción" sqref="AG24:AJ29 AK25:AK29"/>
    <dataValidation type="whole" allowBlank="1" showInputMessage="1" showErrorMessage="1" promptTitle="Distancia" prompt="desde Comparable a Propiedad" sqref="T24:T29">
      <formula1>0</formula1>
      <formula2>10000</formula2>
    </dataValidation>
    <dataValidation type="whole" operator="greaterThanOrEqual" allowBlank="1" showInputMessage="1" showErrorMessage="1" promptTitle="Nº Dormitorios" prompt="Propiedad Comparable" sqref="V24:V29">
      <formula1>0</formula1>
    </dataValidation>
    <dataValidation type="whole" operator="greaterThanOrEqual" allowBlank="1" showInputMessage="1" showErrorMessage="1" promptTitle="Nº Baños" prompt="Propiedad Comparable" sqref="W24:W29">
      <formula1>0</formula1>
    </dataValidation>
    <dataValidation type="list" allowBlank="1" showInputMessage="1" promptTitle="Uso genérico" prompt="Uso más adecuado, eficiente y razonable, legal y técnicamente, para obtener el más alto rendimiento económico de la propiedad" sqref="H12:O12">
      <formula1>"SIN USO,HABITACION,COMERCIO,OFICINA,SERVICIOS,INDUSTRIA,ESTACIONAMIENTO,TRANSPORTE,COMUNICACIONES,ALMACENAJE Y BODEGA ,DEPORTES Y RECREACION,EDUCACION Y CULTURA,SALUD,AGRICOLA,PESCA,MINERIA"</formula1>
    </dataValidation>
    <dataValidation allowBlank="1" showInputMessage="1" promptTitle="Opinión del tasador" prompt="Deficiencias de la propiedad, así como ventajas y comodidades que presenta en relación a su competencia" sqref="H19:AN19"/>
    <dataValidation allowBlank="1" showInputMessage="1" promptTitle="Opinión del tasador" prompt="Situación general y coyuntural del mercado inmobiliario" sqref="H8:AN8"/>
    <dataValidation allowBlank="1" showInputMessage="1" showErrorMessage="1" promptTitle="Uso específico" prompt=" " sqref="P12"/>
    <dataValidation type="list" allowBlank="1" showInputMessage="1" showErrorMessage="1" promptTitle="Compatibilidad" prompt="Respecto a mayor y mejor uso de la propiedad" sqref="AK12:AM12">
      <formula1>"SI,NO,EN PARTE"</formula1>
    </dataValidation>
    <dataValidation allowBlank="1" showInputMessage="1" showErrorMessage="1" promptTitle="Observaciones y Advertencias" prompt="El Tasador debe indicar cualquier hecho relevante o circunstancia que restrinja el uso del bien o afecte el Valor de Tasación." sqref="C40:AN40"/>
    <dataValidation allowBlank="1" showInputMessage="1" showErrorMessage="1" promptTitle="Tipología " prompt="IA   INDIVIDUAL AISLADA&#10;IP   INDIVIDUAL PAREADA&#10;CJ   CONJUNTO&#10;CD  CONDOMINIO&#10;EA  EDIFICIO AISLADO&#10;EC  EDIFICIO CONTINUO&#10;MU MULTIBLOCK" sqref="P24:P29"/>
    <dataValidation type="list" allowBlank="1" showInputMessage="1" showErrorMessage="1" sqref="V7:X7">
      <formula1>$AS$22:$AS$33</formula1>
    </dataValidation>
    <dataValidation type="list" allowBlank="1" showInputMessage="1" showErrorMessage="1" promptTitle="Evaluación del Item" prompt="Grado de atracción y demanda que la propiedad ejerce respecto a otras propiedades que pueden considerarse que compiten por igual demanda." sqref="U13:W17 H13:J17 AK13:AM17">
      <formula1>"Inferior,Similar,Superior"</formula1>
    </dataValidation>
    <dataValidation allowBlank="1" showInputMessage="1" showErrorMessage="1" promptTitle="Tipo Dato" prompt="CV = Compraventa&#10;PC = Promesa compraventa&#10;OC = Oferta Comprobada&#10;OS = Oferta Sin Comprobar&#10;RE = Remate&#10;PE = Peritaje Expropiación&#10;PR = Presupuesto o Propuesta&#10;OT = Otro" sqref="O24:O29"/>
    <dataValidation type="list" allowBlank="1" showInputMessage="1" showErrorMessage="1" promptTitle="Evaluación global" prompt="Comparación entre la propiedad a tasar y las comparables" sqref="AK34:AN34">
      <formula1>"INFERIOR,SIMILAR,SUPERIOR,VARIADA"</formula1>
    </dataValidation>
    <dataValidation type="whole" operator="lessThanOrEqual" allowBlank="1" showInputMessage="1" showErrorMessage="1" promptTitle="Variación Valor de Mercado" prompt="Indique el MENOR Valor de Mercado PROBABLE que recomienda para la propiedad" errorTitle="Mínimo Valor de Mercado Probable" error="El Valor debe ser inferior al Valor de Tasación" sqref="AA37:AD37">
      <formula1>J37</formula1>
    </dataValidation>
    <dataValidation type="whole" operator="greaterThanOrEqual" allowBlank="1" showInputMessage="1" showErrorMessage="1" promptTitle="Variación Valor de Mercado" prompt="Indique el MAYOR Valor de Mercado PROBABLE que recomienda para la propiedad" errorTitle="Máximo Valor de Mercado Probable" error="El Valor debe ser superior al Valor de Tasación" sqref="AK37:AN37">
      <formula1>J37</formula1>
    </dataValidation>
  </dataValidations>
  <printOptions horizontalCentered="1"/>
  <pageMargins left="0.75" right="0.75" top="0.4330708661417323" bottom="1.5748031496062993" header="0" footer="1.3779527559055118"/>
  <pageSetup horizontalDpi="720" verticalDpi="720" orientation="portrait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1:G35"/>
  <sheetViews>
    <sheetView workbookViewId="0" topLeftCell="A1">
      <selection activeCell="A1" sqref="A1"/>
    </sheetView>
  </sheetViews>
  <sheetFormatPr defaultColWidth="11.421875" defaultRowHeight="12.75"/>
  <sheetData>
    <row r="1" spans="1:7" ht="13.5">
      <c r="A1" s="284"/>
      <c r="B1" s="284"/>
      <c r="C1" s="284"/>
      <c r="D1" s="284"/>
      <c r="E1" s="284"/>
      <c r="F1" s="217"/>
      <c r="G1" s="217"/>
    </row>
    <row r="2" spans="1:7" ht="13.5">
      <c r="A2" s="284"/>
      <c r="B2" s="284"/>
      <c r="C2" s="284"/>
      <c r="D2" s="284"/>
      <c r="E2" s="284"/>
      <c r="F2" s="217"/>
      <c r="G2" s="217"/>
    </row>
    <row r="3" spans="1:7" ht="13.5">
      <c r="A3" s="284"/>
      <c r="B3" s="284"/>
      <c r="C3" s="284"/>
      <c r="D3" s="284"/>
      <c r="E3" s="284"/>
      <c r="F3" s="217"/>
      <c r="G3" s="217"/>
    </row>
    <row r="4" spans="1:7" ht="13.5">
      <c r="A4" s="284"/>
      <c r="B4" s="284"/>
      <c r="C4" s="284"/>
      <c r="D4" s="284"/>
      <c r="E4" s="284"/>
      <c r="F4" s="217"/>
      <c r="G4" s="217"/>
    </row>
    <row r="5" spans="1:7" ht="13.5">
      <c r="A5" s="284"/>
      <c r="B5" s="284"/>
      <c r="C5" s="284"/>
      <c r="D5" s="284"/>
      <c r="E5" s="284"/>
      <c r="F5" s="217"/>
      <c r="G5" s="217"/>
    </row>
    <row r="6" spans="1:7" ht="13.5">
      <c r="A6" s="284"/>
      <c r="B6" s="284"/>
      <c r="C6" s="284"/>
      <c r="D6" s="284"/>
      <c r="E6" s="284"/>
      <c r="F6" s="217"/>
      <c r="G6" s="217"/>
    </row>
    <row r="7" spans="1:7" ht="13.5">
      <c r="A7" s="284"/>
      <c r="B7" s="284"/>
      <c r="C7" s="284"/>
      <c r="D7" s="284"/>
      <c r="E7" s="284"/>
      <c r="F7" s="217"/>
      <c r="G7" s="217"/>
    </row>
    <row r="8" spans="1:7" ht="13.5">
      <c r="A8" s="284"/>
      <c r="B8" s="284"/>
      <c r="C8" s="284"/>
      <c r="D8" s="284"/>
      <c r="E8" s="284"/>
      <c r="F8" s="217"/>
      <c r="G8" s="217"/>
    </row>
    <row r="9" spans="1:7" ht="13.5">
      <c r="A9" s="284"/>
      <c r="B9" s="284"/>
      <c r="C9" s="284"/>
      <c r="D9" s="284"/>
      <c r="E9" s="284"/>
      <c r="F9" s="217"/>
      <c r="G9" s="217"/>
    </row>
    <row r="10" spans="1:7" ht="13.5">
      <c r="A10" s="284"/>
      <c r="B10" s="284"/>
      <c r="C10" s="284"/>
      <c r="D10" s="284"/>
      <c r="E10" s="284"/>
      <c r="F10" s="217"/>
      <c r="G10" s="217"/>
    </row>
    <row r="11" spans="1:7" ht="13.5">
      <c r="A11" s="284"/>
      <c r="B11" s="284"/>
      <c r="C11" s="284"/>
      <c r="D11" s="284"/>
      <c r="E11" s="284"/>
      <c r="F11" s="217"/>
      <c r="G11" s="217"/>
    </row>
    <row r="12" spans="1:7" ht="13.5">
      <c r="A12" s="284"/>
      <c r="B12" s="284"/>
      <c r="C12" s="284"/>
      <c r="D12" s="284"/>
      <c r="E12" s="284"/>
      <c r="F12" s="217"/>
      <c r="G12" s="217"/>
    </row>
    <row r="13" spans="1:7" ht="13.5">
      <c r="A13" s="284"/>
      <c r="B13" s="284"/>
      <c r="C13" s="284"/>
      <c r="D13" s="284"/>
      <c r="E13" s="284"/>
      <c r="F13" s="217"/>
      <c r="G13" s="217"/>
    </row>
    <row r="14" spans="1:7" ht="13.5">
      <c r="A14" s="284"/>
      <c r="B14" s="284"/>
      <c r="C14" s="284"/>
      <c r="D14" s="284"/>
      <c r="E14" s="284"/>
      <c r="F14" s="217"/>
      <c r="G14" s="217"/>
    </row>
    <row r="15" spans="1:7" ht="13.5">
      <c r="A15" s="284"/>
      <c r="B15" s="284"/>
      <c r="C15" s="284"/>
      <c r="D15" s="217"/>
      <c r="E15" s="284"/>
      <c r="F15" s="217"/>
      <c r="G15" s="217"/>
    </row>
    <row r="16" spans="1:7" ht="13.5">
      <c r="A16" s="284"/>
      <c r="B16" s="284"/>
      <c r="C16" s="284"/>
      <c r="D16" s="284"/>
      <c r="E16" s="284"/>
      <c r="F16" s="217"/>
      <c r="G16" s="217"/>
    </row>
    <row r="17" spans="1:7" ht="13.5">
      <c r="A17" s="284"/>
      <c r="B17" s="284"/>
      <c r="C17" s="284"/>
      <c r="D17" s="284"/>
      <c r="E17" s="284"/>
      <c r="F17" s="217"/>
      <c r="G17" s="217"/>
    </row>
    <row r="18" spans="1:7" ht="12.75">
      <c r="A18" s="217"/>
      <c r="B18" s="217"/>
      <c r="C18" s="217"/>
      <c r="D18" s="217"/>
      <c r="E18" s="217"/>
      <c r="F18" s="217"/>
      <c r="G18" s="217"/>
    </row>
    <row r="19" spans="1:7" ht="12.75">
      <c r="A19" s="255"/>
      <c r="B19" s="1064"/>
      <c r="C19" s="1064"/>
      <c r="D19" s="1064"/>
      <c r="E19" s="1064"/>
      <c r="F19" s="217"/>
      <c r="G19" s="217"/>
    </row>
    <row r="20" spans="1:7" ht="12.75">
      <c r="A20" s="217"/>
      <c r="B20" s="217"/>
      <c r="C20" s="217"/>
      <c r="D20" s="217"/>
      <c r="E20" s="217"/>
      <c r="F20" s="217"/>
      <c r="G20" s="217"/>
    </row>
    <row r="21" spans="1:7" ht="13.5">
      <c r="A21" s="217"/>
      <c r="B21" s="217"/>
      <c r="C21" s="217"/>
      <c r="D21" s="285"/>
      <c r="E21" s="217"/>
      <c r="F21" s="217"/>
      <c r="G21" s="217"/>
    </row>
    <row r="22" spans="1:7" ht="12.75">
      <c r="A22" s="217"/>
      <c r="B22" s="217"/>
      <c r="C22" s="217"/>
      <c r="D22" s="217"/>
      <c r="E22" s="217"/>
      <c r="F22" s="217"/>
      <c r="G22" s="217"/>
    </row>
    <row r="23" spans="1:7" ht="13.5">
      <c r="A23" s="284"/>
      <c r="B23" s="217"/>
      <c r="C23" s="217"/>
      <c r="D23" s="217"/>
      <c r="E23" s="217"/>
      <c r="F23" s="217"/>
      <c r="G23" s="217"/>
    </row>
    <row r="24" spans="1:7" ht="12.75">
      <c r="A24" s="217"/>
      <c r="B24" s="217"/>
      <c r="C24" s="217"/>
      <c r="D24" s="217"/>
      <c r="E24" s="217"/>
      <c r="F24" s="217"/>
      <c r="G24" s="217"/>
    </row>
    <row r="25" spans="1:7" ht="12.75">
      <c r="A25" s="255"/>
      <c r="B25" s="1065"/>
      <c r="C25" s="1065"/>
      <c r="D25" s="1065"/>
      <c r="E25" s="217"/>
      <c r="F25" s="217"/>
      <c r="G25" s="217"/>
    </row>
    <row r="26" spans="1:7" ht="12.75">
      <c r="A26" s="217"/>
      <c r="B26" s="217"/>
      <c r="C26" s="217"/>
      <c r="D26" s="217"/>
      <c r="E26" s="217"/>
      <c r="F26" s="217"/>
      <c r="G26" s="217"/>
    </row>
    <row r="27" spans="1:7" ht="13.5">
      <c r="A27" s="217"/>
      <c r="B27" s="217"/>
      <c r="C27" s="217"/>
      <c r="D27" s="285"/>
      <c r="E27" s="217"/>
      <c r="F27" s="217"/>
      <c r="G27" s="217"/>
    </row>
    <row r="28" spans="1:7" ht="13.5">
      <c r="A28" s="284"/>
      <c r="B28" s="217"/>
      <c r="C28" s="217"/>
      <c r="D28" s="217"/>
      <c r="E28" s="217"/>
      <c r="F28" s="217"/>
      <c r="G28" s="217"/>
    </row>
    <row r="29" spans="1:7" ht="13.5">
      <c r="A29" s="284"/>
      <c r="B29" s="217"/>
      <c r="C29" s="217"/>
      <c r="D29" s="217"/>
      <c r="E29" s="217"/>
      <c r="F29" s="217"/>
      <c r="G29" s="217"/>
    </row>
    <row r="30" spans="1:7" ht="13.5">
      <c r="A30" s="284"/>
      <c r="B30" s="217"/>
      <c r="C30" s="217"/>
      <c r="D30" s="217"/>
      <c r="E30" s="217"/>
      <c r="F30" s="217"/>
      <c r="G30" s="217"/>
    </row>
    <row r="31" spans="1:7" ht="13.5">
      <c r="A31" s="284"/>
      <c r="B31" s="217"/>
      <c r="C31" s="217"/>
      <c r="D31" s="217"/>
      <c r="E31" s="217"/>
      <c r="F31" s="217"/>
      <c r="G31" s="217"/>
    </row>
    <row r="32" spans="1:7" ht="13.5">
      <c r="A32" s="284"/>
      <c r="B32" s="217"/>
      <c r="C32" s="217"/>
      <c r="D32" s="217"/>
      <c r="E32" s="217"/>
      <c r="F32" s="217"/>
      <c r="G32" s="217"/>
    </row>
    <row r="33" spans="1:7" ht="13.5">
      <c r="A33" s="284"/>
      <c r="B33" s="217"/>
      <c r="C33" s="217"/>
      <c r="D33" s="217"/>
      <c r="E33" s="217"/>
      <c r="F33" s="217"/>
      <c r="G33" s="217"/>
    </row>
    <row r="34" spans="1:7" ht="13.5">
      <c r="A34" s="284"/>
      <c r="B34" s="217"/>
      <c r="C34" s="217"/>
      <c r="D34" s="217"/>
      <c r="E34" s="217"/>
      <c r="F34" s="217"/>
      <c r="G34" s="217"/>
    </row>
    <row r="35" spans="1:7" ht="12.75">
      <c r="A35" s="217"/>
      <c r="B35" s="217"/>
      <c r="C35" s="217"/>
      <c r="D35" s="217"/>
      <c r="E35" s="217"/>
      <c r="F35" s="217"/>
      <c r="G35" s="217"/>
    </row>
  </sheetData>
  <mergeCells count="2">
    <mergeCell ref="B19:E19"/>
    <mergeCell ref="B25:D25"/>
  </mergeCells>
  <dataValidations count="2">
    <dataValidation type="list" allowBlank="1" sqref="B19:E19">
      <formula1>"COMPRAVENTA,PROMESA COMPRAVENTA,AVISO OFERTA,REMATE,TASACIÓN,PERITAJE EXPROPIACION,PERITAJE JUDICIAL,PRESUP./PROPUESTA"</formula1>
    </dataValidation>
    <dataValidation type="list" allowBlank="1" showInputMessage="1" showErrorMessage="1" sqref="B25">
      <formula1>"INDIVIDUAL AISLADA,INDIVIDUAL PAREADA,CONJUNTO,CONDOMINIO,EDIFICIO AISLADO,EDIFICIO CONTINUO,MULTIBLOCK"</formula1>
    </dataValidation>
  </dataValidations>
  <printOptions/>
  <pageMargins left="0.7874015748031497" right="0.7874015748031497" top="0.984251968503937" bottom="1.968503937007874" header="0" footer="0"/>
  <pageSetup horizontalDpi="300" verticalDpi="300" orientation="portrait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"/>
  <dimension ref="A1:T48"/>
  <sheetViews>
    <sheetView workbookViewId="0" topLeftCell="A1">
      <selection activeCell="A1" sqref="A1"/>
    </sheetView>
  </sheetViews>
  <sheetFormatPr defaultColWidth="11.421875" defaultRowHeight="12.75"/>
  <cols>
    <col min="1" max="1" width="5.28125" style="0" customWidth="1"/>
    <col min="2" max="2" width="11.57421875" style="0" customWidth="1"/>
    <col min="3" max="4" width="6.7109375" style="0" customWidth="1"/>
    <col min="5" max="5" width="7.421875" style="0" customWidth="1"/>
    <col min="6" max="6" width="14.421875" style="0" bestFit="1" customWidth="1"/>
    <col min="7" max="7" width="6.28125" style="0" customWidth="1"/>
    <col min="8" max="8" width="9.8515625" style="0" customWidth="1"/>
    <col min="9" max="9" width="7.140625" style="0" customWidth="1"/>
    <col min="10" max="10" width="6.57421875" style="0" customWidth="1"/>
    <col min="11" max="11" width="16.7109375" style="0" customWidth="1"/>
    <col min="12" max="12" width="6.421875" style="0" customWidth="1"/>
    <col min="13" max="13" width="4.140625" style="0" bestFit="1" customWidth="1"/>
  </cols>
  <sheetData>
    <row r="1" spans="1:19" ht="13.5">
      <c r="A1" s="290" t="s">
        <v>208</v>
      </c>
      <c r="B1" s="290"/>
      <c r="E1" s="290" t="s">
        <v>376</v>
      </c>
      <c r="F1" s="39"/>
      <c r="G1" s="39" t="s">
        <v>377</v>
      </c>
      <c r="H1" s="254" t="s">
        <v>378</v>
      </c>
      <c r="J1" s="290" t="s">
        <v>249</v>
      </c>
      <c r="K1" s="254"/>
      <c r="L1" s="313"/>
      <c r="M1" s="290" t="s">
        <v>411</v>
      </c>
      <c r="N1" s="313"/>
      <c r="O1" s="295"/>
      <c r="P1" s="588" t="s">
        <v>417</v>
      </c>
      <c r="Q1" s="588" t="s">
        <v>444</v>
      </c>
      <c r="R1" s="588" t="s">
        <v>445</v>
      </c>
      <c r="S1" s="588" t="s">
        <v>446</v>
      </c>
    </row>
    <row r="2" spans="1:20" ht="13.5">
      <c r="A2" s="291" t="s">
        <v>216</v>
      </c>
      <c r="B2" s="520" t="s">
        <v>397</v>
      </c>
      <c r="C2" s="521">
        <v>0.5</v>
      </c>
      <c r="E2" s="293" t="s">
        <v>209</v>
      </c>
      <c r="F2" s="513" t="s">
        <v>382</v>
      </c>
      <c r="G2" s="521">
        <v>1</v>
      </c>
      <c r="H2" s="522">
        <v>70</v>
      </c>
      <c r="J2" s="524">
        <v>0</v>
      </c>
      <c r="K2" s="563" t="s">
        <v>226</v>
      </c>
      <c r="L2" s="524">
        <v>0</v>
      </c>
      <c r="M2" s="315" t="s">
        <v>405</v>
      </c>
      <c r="N2" s="50" t="s">
        <v>404</v>
      </c>
      <c r="O2" s="295"/>
      <c r="P2" s="534">
        <v>3</v>
      </c>
      <c r="Q2" s="589">
        <v>0.5148</v>
      </c>
      <c r="R2" s="589">
        <v>0.3539</v>
      </c>
      <c r="S2" s="589">
        <v>0.1313</v>
      </c>
      <c r="T2" s="598"/>
    </row>
    <row r="3" spans="1:20" ht="13.5">
      <c r="A3" s="291" t="s">
        <v>212</v>
      </c>
      <c r="B3" s="520" t="s">
        <v>395</v>
      </c>
      <c r="C3" s="521">
        <v>0.6</v>
      </c>
      <c r="E3" s="293" t="s">
        <v>211</v>
      </c>
      <c r="F3" s="513" t="s">
        <v>383</v>
      </c>
      <c r="G3" s="521">
        <v>0.8</v>
      </c>
      <c r="H3" s="522">
        <v>70</v>
      </c>
      <c r="J3" s="524">
        <v>0.25</v>
      </c>
      <c r="K3" s="563" t="s">
        <v>225</v>
      </c>
      <c r="L3" s="524">
        <v>0.25</v>
      </c>
      <c r="M3" s="315" t="s">
        <v>381</v>
      </c>
      <c r="N3" s="50" t="s">
        <v>403</v>
      </c>
      <c r="O3" s="295"/>
      <c r="P3" s="534">
        <v>4</v>
      </c>
      <c r="Q3" s="589">
        <v>0.5514</v>
      </c>
      <c r="R3" s="589">
        <v>0.3025</v>
      </c>
      <c r="S3" s="589">
        <v>0.1461</v>
      </c>
      <c r="T3" s="598"/>
    </row>
    <row r="4" spans="1:20" ht="13.5">
      <c r="A4" s="291" t="s">
        <v>214</v>
      </c>
      <c r="B4" s="520" t="s">
        <v>396</v>
      </c>
      <c r="C4" s="521">
        <v>0.6</v>
      </c>
      <c r="E4" s="293" t="s">
        <v>213</v>
      </c>
      <c r="F4" s="513" t="s">
        <v>384</v>
      </c>
      <c r="G4" s="521">
        <v>1.1</v>
      </c>
      <c r="H4" s="522">
        <v>70</v>
      </c>
      <c r="J4" s="524">
        <v>0.5</v>
      </c>
      <c r="K4" s="563" t="s">
        <v>224</v>
      </c>
      <c r="L4" s="524">
        <v>0.5</v>
      </c>
      <c r="M4" s="315" t="s">
        <v>406</v>
      </c>
      <c r="N4" s="50" t="s">
        <v>402</v>
      </c>
      <c r="O4" s="295"/>
      <c r="P4" s="534">
        <v>5</v>
      </c>
      <c r="Q4" s="589">
        <v>0.6432</v>
      </c>
      <c r="R4" s="589">
        <v>0.208</v>
      </c>
      <c r="S4" s="589">
        <v>0.1488</v>
      </c>
      <c r="T4" s="598"/>
    </row>
    <row r="5" spans="1:15" ht="13.5">
      <c r="A5" s="291" t="s">
        <v>210</v>
      </c>
      <c r="B5" s="520" t="s">
        <v>394</v>
      </c>
      <c r="C5" s="521">
        <v>0.5</v>
      </c>
      <c r="E5" s="293" t="s">
        <v>215</v>
      </c>
      <c r="F5" s="513" t="s">
        <v>385</v>
      </c>
      <c r="G5" s="521">
        <v>1.1</v>
      </c>
      <c r="H5" s="522">
        <v>70</v>
      </c>
      <c r="J5" s="524">
        <v>0.75</v>
      </c>
      <c r="K5" s="563" t="s">
        <v>223</v>
      </c>
      <c r="L5" s="524">
        <v>0.75</v>
      </c>
      <c r="M5" s="315" t="s">
        <v>407</v>
      </c>
      <c r="N5" s="50" t="s">
        <v>401</v>
      </c>
      <c r="O5" s="295"/>
    </row>
    <row r="6" spans="1:15" ht="13.5">
      <c r="A6" s="291" t="s">
        <v>471</v>
      </c>
      <c r="B6" s="520" t="s">
        <v>472</v>
      </c>
      <c r="C6" s="521">
        <v>1</v>
      </c>
      <c r="E6" s="293" t="s">
        <v>217</v>
      </c>
      <c r="F6" s="513" t="s">
        <v>386</v>
      </c>
      <c r="G6" s="521">
        <v>1.5</v>
      </c>
      <c r="H6" s="522">
        <v>80</v>
      </c>
      <c r="J6" s="524">
        <v>1</v>
      </c>
      <c r="K6" s="563" t="s">
        <v>423</v>
      </c>
      <c r="L6" s="524">
        <v>1</v>
      </c>
      <c r="M6" s="315" t="s">
        <v>408</v>
      </c>
      <c r="N6" s="50" t="s">
        <v>400</v>
      </c>
      <c r="O6" s="295"/>
    </row>
    <row r="7" spans="5:15" ht="13.5">
      <c r="E7" s="294" t="s">
        <v>218</v>
      </c>
      <c r="F7" s="57" t="s">
        <v>387</v>
      </c>
      <c r="G7" s="525">
        <v>2</v>
      </c>
      <c r="H7" s="526">
        <v>80</v>
      </c>
      <c r="J7" s="524">
        <v>1.25</v>
      </c>
      <c r="K7" s="563" t="s">
        <v>227</v>
      </c>
      <c r="L7" s="524">
        <v>1.25</v>
      </c>
      <c r="M7" s="315" t="s">
        <v>409</v>
      </c>
      <c r="N7" s="50" t="s">
        <v>399</v>
      </c>
      <c r="O7" s="295"/>
    </row>
    <row r="8" spans="5:15" ht="13.5">
      <c r="E8" s="292" t="s">
        <v>219</v>
      </c>
      <c r="F8" s="513" t="s">
        <v>388</v>
      </c>
      <c r="G8" s="521">
        <v>1</v>
      </c>
      <c r="H8" s="522">
        <v>70</v>
      </c>
      <c r="J8" s="524">
        <v>1.5</v>
      </c>
      <c r="K8" s="563" t="s">
        <v>206</v>
      </c>
      <c r="L8" s="524">
        <v>1.5</v>
      </c>
      <c r="M8" s="315" t="s">
        <v>410</v>
      </c>
      <c r="N8" s="50" t="s">
        <v>398</v>
      </c>
      <c r="O8" s="295"/>
    </row>
    <row r="9" spans="1:19" ht="13.5">
      <c r="A9" s="79"/>
      <c r="B9" s="79"/>
      <c r="C9" s="79"/>
      <c r="D9" s="79"/>
      <c r="E9" s="292" t="s">
        <v>220</v>
      </c>
      <c r="F9" s="513" t="s">
        <v>389</v>
      </c>
      <c r="G9" s="521">
        <v>1.5</v>
      </c>
      <c r="H9" s="522">
        <v>80</v>
      </c>
      <c r="J9" s="524">
        <v>1.75</v>
      </c>
      <c r="K9" s="563" t="s">
        <v>228</v>
      </c>
      <c r="L9" s="524">
        <v>1.75</v>
      </c>
      <c r="O9" s="295"/>
      <c r="S9" s="589"/>
    </row>
    <row r="10" spans="1:15" ht="13.5">
      <c r="A10" s="79"/>
      <c r="B10" s="79"/>
      <c r="C10" s="79"/>
      <c r="D10" s="79"/>
      <c r="E10" s="294" t="s">
        <v>230</v>
      </c>
      <c r="F10" s="57" t="s">
        <v>390</v>
      </c>
      <c r="G10" s="525">
        <v>1.1</v>
      </c>
      <c r="H10" s="526">
        <v>70</v>
      </c>
      <c r="J10" s="524">
        <v>2</v>
      </c>
      <c r="K10" s="563" t="s">
        <v>229</v>
      </c>
      <c r="L10" s="524">
        <v>2</v>
      </c>
      <c r="M10" s="50"/>
      <c r="O10" s="295"/>
    </row>
    <row r="11" spans="1:15" ht="13.5">
      <c r="A11" s="79"/>
      <c r="B11" s="79"/>
      <c r="C11" s="79"/>
      <c r="D11" s="79"/>
      <c r="E11" s="293" t="s">
        <v>379</v>
      </c>
      <c r="F11" s="513" t="s">
        <v>391</v>
      </c>
      <c r="G11" s="521">
        <v>1.1</v>
      </c>
      <c r="H11" s="522">
        <v>70</v>
      </c>
      <c r="J11" s="523"/>
      <c r="K11" s="524"/>
      <c r="L11" s="50"/>
      <c r="M11" s="50"/>
      <c r="O11" s="295"/>
    </row>
    <row r="12" spans="1:15" ht="13.5">
      <c r="A12" s="79"/>
      <c r="B12" s="79"/>
      <c r="C12" s="79"/>
      <c r="D12" s="79"/>
      <c r="E12" s="294" t="s">
        <v>380</v>
      </c>
      <c r="F12" s="57" t="s">
        <v>392</v>
      </c>
      <c r="G12" s="525">
        <v>1.5</v>
      </c>
      <c r="H12" s="526">
        <v>80</v>
      </c>
      <c r="J12" s="523"/>
      <c r="K12" s="524"/>
      <c r="L12" s="50"/>
      <c r="M12" s="50"/>
      <c r="O12" s="295"/>
    </row>
    <row r="13" spans="1:7" ht="13.5">
      <c r="A13" s="79"/>
      <c r="B13" s="79"/>
      <c r="C13" s="79"/>
      <c r="D13" s="79"/>
      <c r="E13" s="292" t="s">
        <v>221</v>
      </c>
      <c r="F13" s="513" t="s">
        <v>393</v>
      </c>
      <c r="G13" s="512"/>
    </row>
    <row r="14" spans="1:10" ht="13.5">
      <c r="A14" s="79"/>
      <c r="B14" s="79"/>
      <c r="C14" s="79"/>
      <c r="D14" s="79"/>
      <c r="E14" s="294" t="s">
        <v>222</v>
      </c>
      <c r="F14" s="57" t="s">
        <v>29</v>
      </c>
      <c r="G14" s="527"/>
      <c r="H14" s="254"/>
      <c r="J14" s="296"/>
    </row>
    <row r="15" spans="1:10" ht="13.5">
      <c r="A15" s="79"/>
      <c r="B15" s="79"/>
      <c r="C15" s="79"/>
      <c r="D15" s="79"/>
      <c r="E15" s="293"/>
      <c r="F15" s="513"/>
      <c r="G15" s="512"/>
      <c r="J15" s="296"/>
    </row>
    <row r="16" spans="1:10" ht="13.5">
      <c r="A16" s="79"/>
      <c r="B16" s="358"/>
      <c r="C16" s="79"/>
      <c r="D16" s="79"/>
      <c r="E16" s="293"/>
      <c r="F16" s="513"/>
      <c r="G16" s="512"/>
      <c r="J16" s="296"/>
    </row>
    <row r="17" spans="1:7" ht="12.75">
      <c r="A17" s="79"/>
      <c r="B17" s="79"/>
      <c r="C17" s="79"/>
      <c r="D17" s="79"/>
      <c r="E17" s="79"/>
      <c r="F17" s="79"/>
      <c r="G17" s="50"/>
    </row>
    <row r="18" spans="1:10" ht="13.5">
      <c r="A18" s="314" t="s">
        <v>247</v>
      </c>
      <c r="B18" s="79"/>
      <c r="C18" s="79"/>
      <c r="D18" s="79"/>
      <c r="E18" s="79"/>
      <c r="F18" s="597"/>
      <c r="H18" s="316"/>
      <c r="I18" s="317"/>
      <c r="J18" s="317"/>
    </row>
    <row r="19" spans="2:14" ht="13.5">
      <c r="B19" s="594" t="s">
        <v>248</v>
      </c>
      <c r="C19" s="595"/>
      <c r="D19" s="595"/>
      <c r="E19" s="596" t="s">
        <v>474</v>
      </c>
      <c r="F19" s="595"/>
      <c r="G19" s="595"/>
      <c r="H19" s="596" t="s">
        <v>475</v>
      </c>
      <c r="I19" s="595"/>
      <c r="J19" s="595"/>
      <c r="K19" s="514" t="s">
        <v>370</v>
      </c>
      <c r="N19" s="532" t="s">
        <v>416</v>
      </c>
    </row>
    <row r="20" spans="1:15" ht="13.5">
      <c r="A20" s="290" t="s">
        <v>376</v>
      </c>
      <c r="B20" s="515">
        <v>3</v>
      </c>
      <c r="C20" s="515">
        <v>4</v>
      </c>
      <c r="D20" s="515">
        <v>5</v>
      </c>
      <c r="E20" s="516">
        <v>3</v>
      </c>
      <c r="F20" s="515">
        <v>4</v>
      </c>
      <c r="G20" s="515">
        <v>5</v>
      </c>
      <c r="H20" s="516">
        <v>3</v>
      </c>
      <c r="I20" s="515">
        <v>4</v>
      </c>
      <c r="J20" s="515">
        <v>5</v>
      </c>
      <c r="K20" s="514" t="s">
        <v>187</v>
      </c>
      <c r="M20" s="533" t="s">
        <v>417</v>
      </c>
      <c r="N20" s="588" t="s">
        <v>447</v>
      </c>
      <c r="O20" s="588" t="s">
        <v>448</v>
      </c>
    </row>
    <row r="21" spans="1:15" ht="13.5">
      <c r="A21" s="511" t="s">
        <v>209</v>
      </c>
      <c r="B21" s="528">
        <v>15.06</v>
      </c>
      <c r="C21" s="528">
        <v>10.98</v>
      </c>
      <c r="D21" s="528">
        <v>6.72</v>
      </c>
      <c r="E21" s="529">
        <v>20.68</v>
      </c>
      <c r="F21" s="528">
        <v>14.04</v>
      </c>
      <c r="G21" s="528">
        <v>6.69</v>
      </c>
      <c r="H21" s="529">
        <v>31.84</v>
      </c>
      <c r="I21" s="528">
        <v>24.31</v>
      </c>
      <c r="J21" s="528"/>
      <c r="M21" s="679" t="s">
        <v>452</v>
      </c>
      <c r="N21" s="535">
        <v>1</v>
      </c>
      <c r="O21" s="535">
        <v>2</v>
      </c>
    </row>
    <row r="22" spans="1:15" ht="13.5">
      <c r="A22" s="511" t="s">
        <v>211</v>
      </c>
      <c r="B22" s="528">
        <v>16.75</v>
      </c>
      <c r="C22" s="528">
        <v>10.57</v>
      </c>
      <c r="D22" s="528">
        <v>6.27</v>
      </c>
      <c r="E22" s="529">
        <f>E21</f>
        <v>20.68</v>
      </c>
      <c r="F22" s="529">
        <f>F21</f>
        <v>14.04</v>
      </c>
      <c r="G22" s="529">
        <f>G21</f>
        <v>6.69</v>
      </c>
      <c r="H22" s="529">
        <f>H21</f>
        <v>31.84</v>
      </c>
      <c r="I22" s="529">
        <f>I21</f>
        <v>24.31</v>
      </c>
      <c r="J22" s="528"/>
      <c r="M22" s="536">
        <v>3</v>
      </c>
      <c r="N22" s="534">
        <v>0.65</v>
      </c>
      <c r="O22" s="534">
        <v>0.13</v>
      </c>
    </row>
    <row r="23" spans="1:15" ht="13.5">
      <c r="A23" s="511" t="s">
        <v>213</v>
      </c>
      <c r="B23" s="528">
        <v>14.53</v>
      </c>
      <c r="C23" s="528">
        <v>9.75</v>
      </c>
      <c r="D23" s="528">
        <v>5.78</v>
      </c>
      <c r="E23" s="529">
        <f>E21</f>
        <v>20.68</v>
      </c>
      <c r="F23" s="529">
        <f>F21</f>
        <v>14.04</v>
      </c>
      <c r="G23" s="529">
        <f>G21</f>
        <v>6.69</v>
      </c>
      <c r="H23" s="529">
        <f>H21</f>
        <v>31.84</v>
      </c>
      <c r="I23" s="529">
        <f>I21</f>
        <v>24.31</v>
      </c>
      <c r="J23" s="593"/>
      <c r="M23" s="536">
        <v>4</v>
      </c>
      <c r="N23" s="534">
        <v>0.88</v>
      </c>
      <c r="O23" s="534">
        <v>0.18</v>
      </c>
    </row>
    <row r="24" spans="1:15" ht="13.5">
      <c r="A24" s="511" t="s">
        <v>215</v>
      </c>
      <c r="B24" s="528">
        <f>B23</f>
        <v>14.53</v>
      </c>
      <c r="C24" s="528">
        <f>C23</f>
        <v>9.75</v>
      </c>
      <c r="D24" s="528">
        <f>D23</f>
        <v>5.78</v>
      </c>
      <c r="E24" s="528">
        <f>E21</f>
        <v>20.68</v>
      </c>
      <c r="F24" s="528">
        <f>F21</f>
        <v>14.04</v>
      </c>
      <c r="G24" s="528">
        <f>G21</f>
        <v>6.69</v>
      </c>
      <c r="H24" s="528">
        <f>H21</f>
        <v>31.84</v>
      </c>
      <c r="I24" s="528">
        <f>I21</f>
        <v>24.31</v>
      </c>
      <c r="J24" s="593"/>
      <c r="M24" s="536">
        <v>5</v>
      </c>
      <c r="N24" s="534">
        <v>1.11</v>
      </c>
      <c r="O24" s="534"/>
    </row>
    <row r="25" spans="1:15" ht="13.5">
      <c r="A25" s="511" t="s">
        <v>217</v>
      </c>
      <c r="B25" s="528">
        <v>15.61</v>
      </c>
      <c r="C25" s="528">
        <v>11.38</v>
      </c>
      <c r="D25" s="528">
        <v>6.97</v>
      </c>
      <c r="E25" s="592"/>
      <c r="F25" s="593"/>
      <c r="G25" s="593"/>
      <c r="H25" s="592"/>
      <c r="I25" s="593"/>
      <c r="J25" s="593"/>
      <c r="M25" s="679" t="s">
        <v>454</v>
      </c>
      <c r="N25" s="535">
        <v>1</v>
      </c>
      <c r="O25" s="535">
        <v>2</v>
      </c>
    </row>
    <row r="26" spans="1:15" ht="13.5">
      <c r="A26" s="511" t="s">
        <v>218</v>
      </c>
      <c r="B26" s="528">
        <v>11.66</v>
      </c>
      <c r="C26" s="528">
        <v>7.82</v>
      </c>
      <c r="D26" s="528">
        <v>4.64</v>
      </c>
      <c r="E26" s="592"/>
      <c r="F26" s="593"/>
      <c r="G26" s="593"/>
      <c r="H26" s="592"/>
      <c r="I26" s="593"/>
      <c r="J26" s="593"/>
      <c r="M26" s="536">
        <v>3</v>
      </c>
      <c r="N26" s="534">
        <v>0.51</v>
      </c>
      <c r="O26" s="534">
        <v>0.11</v>
      </c>
    </row>
    <row r="27" spans="1:15" ht="13.5">
      <c r="A27" s="511" t="s">
        <v>219</v>
      </c>
      <c r="B27" s="528">
        <f>B21</f>
        <v>15.06</v>
      </c>
      <c r="C27" s="528">
        <f>C21</f>
        <v>10.98</v>
      </c>
      <c r="D27" s="528">
        <f>D21</f>
        <v>6.72</v>
      </c>
      <c r="E27" s="592"/>
      <c r="F27" s="593"/>
      <c r="G27" s="593"/>
      <c r="H27" s="592"/>
      <c r="I27" s="593"/>
      <c r="J27" s="593"/>
      <c r="M27" s="536">
        <v>4</v>
      </c>
      <c r="N27" s="534">
        <v>0.79</v>
      </c>
      <c r="O27" s="534">
        <v>0.17</v>
      </c>
    </row>
    <row r="28" spans="1:15" ht="13.5">
      <c r="A28" s="511" t="s">
        <v>220</v>
      </c>
      <c r="B28" s="528">
        <f>B25</f>
        <v>15.61</v>
      </c>
      <c r="C28" s="528">
        <f>C25</f>
        <v>11.38</v>
      </c>
      <c r="D28" s="528">
        <f>D25</f>
        <v>6.97</v>
      </c>
      <c r="E28" s="592"/>
      <c r="F28" s="593"/>
      <c r="G28" s="593"/>
      <c r="H28" s="592"/>
      <c r="I28" s="593"/>
      <c r="J28" s="593"/>
      <c r="M28" s="536">
        <v>5</v>
      </c>
      <c r="N28" s="534">
        <v>1.07</v>
      </c>
      <c r="O28" s="534"/>
    </row>
    <row r="29" spans="1:15" ht="13.5">
      <c r="A29" s="511" t="s">
        <v>230</v>
      </c>
      <c r="B29" s="528">
        <f>B22</f>
        <v>16.75</v>
      </c>
      <c r="C29" s="528">
        <f>C22</f>
        <v>10.57</v>
      </c>
      <c r="D29" s="528">
        <f>D22</f>
        <v>6.27</v>
      </c>
      <c r="E29" s="592"/>
      <c r="F29" s="593"/>
      <c r="G29" s="593"/>
      <c r="H29" s="592"/>
      <c r="I29" s="593"/>
      <c r="J29" s="593"/>
      <c r="M29" s="679" t="s">
        <v>455</v>
      </c>
      <c r="N29" s="535">
        <v>1</v>
      </c>
      <c r="O29" s="535">
        <v>2</v>
      </c>
    </row>
    <row r="30" spans="1:15" ht="13.5">
      <c r="A30" s="511" t="s">
        <v>379</v>
      </c>
      <c r="B30" s="528">
        <v>12.76</v>
      </c>
      <c r="C30" s="528">
        <v>8.56</v>
      </c>
      <c r="D30" s="528">
        <v>5.08</v>
      </c>
      <c r="E30" s="592"/>
      <c r="F30" s="593"/>
      <c r="G30" s="593"/>
      <c r="H30" s="592"/>
      <c r="I30" s="593"/>
      <c r="J30" s="593"/>
      <c r="M30" s="536">
        <v>3</v>
      </c>
      <c r="N30" s="534">
        <v>0.79</v>
      </c>
      <c r="O30" s="534">
        <v>0.15</v>
      </c>
    </row>
    <row r="31" spans="1:15" ht="13.5">
      <c r="A31" s="511" t="s">
        <v>380</v>
      </c>
      <c r="B31" s="528">
        <v>14.05</v>
      </c>
      <c r="C31" s="528">
        <v>10.24</v>
      </c>
      <c r="D31" s="528">
        <v>6.27</v>
      </c>
      <c r="E31" s="592"/>
      <c r="F31" s="593"/>
      <c r="G31" s="593"/>
      <c r="H31" s="592"/>
      <c r="I31" s="593"/>
      <c r="J31" s="593"/>
      <c r="M31" s="536">
        <v>4</v>
      </c>
      <c r="N31" s="534">
        <v>0.97</v>
      </c>
      <c r="O31" s="534">
        <v>0.19</v>
      </c>
    </row>
    <row r="32" spans="1:15" ht="13.5">
      <c r="A32" s="571"/>
      <c r="B32" s="512"/>
      <c r="M32" s="536">
        <v>5</v>
      </c>
      <c r="N32" s="534">
        <v>1.15</v>
      </c>
      <c r="O32" s="534"/>
    </row>
    <row r="33" spans="1:2" ht="13.5">
      <c r="A33" s="571"/>
      <c r="B33" s="512"/>
    </row>
    <row r="35" spans="1:10" ht="13.5">
      <c r="A35" s="314" t="s">
        <v>469</v>
      </c>
      <c r="B35" s="79"/>
      <c r="C35" s="79"/>
      <c r="D35" s="79"/>
      <c r="E35" s="79"/>
      <c r="F35" s="597"/>
      <c r="H35" s="316"/>
      <c r="I35" s="317"/>
      <c r="J35" s="317"/>
    </row>
    <row r="36" spans="2:11" ht="13.5">
      <c r="B36" s="594" t="s">
        <v>248</v>
      </c>
      <c r="C36" s="595"/>
      <c r="D36" s="595"/>
      <c r="E36" s="596" t="s">
        <v>474</v>
      </c>
      <c r="F36" s="595"/>
      <c r="G36" s="595"/>
      <c r="H36" s="596" t="s">
        <v>475</v>
      </c>
      <c r="I36" s="595"/>
      <c r="J36" s="595"/>
      <c r="K36" s="514" t="s">
        <v>370</v>
      </c>
    </row>
    <row r="37" spans="1:11" ht="12.75">
      <c r="A37" s="290" t="s">
        <v>376</v>
      </c>
      <c r="B37" s="515">
        <v>3</v>
      </c>
      <c r="C37" s="515">
        <v>4</v>
      </c>
      <c r="D37" s="515">
        <v>5</v>
      </c>
      <c r="E37" s="516">
        <v>3</v>
      </c>
      <c r="F37" s="515">
        <v>4</v>
      </c>
      <c r="G37" s="515">
        <v>5</v>
      </c>
      <c r="H37" s="516">
        <v>3</v>
      </c>
      <c r="I37" s="515">
        <v>4</v>
      </c>
      <c r="J37" s="515">
        <v>5</v>
      </c>
      <c r="K37" s="514" t="s">
        <v>187</v>
      </c>
    </row>
    <row r="38" spans="1:10" ht="13.5">
      <c r="A38" s="511" t="s">
        <v>209</v>
      </c>
      <c r="B38" s="707">
        <v>1.35</v>
      </c>
      <c r="C38" s="707">
        <v>0.3</v>
      </c>
      <c r="D38" s="707">
        <v>1.16</v>
      </c>
      <c r="E38" s="529">
        <v>1.28</v>
      </c>
      <c r="F38" s="528">
        <v>1.01</v>
      </c>
      <c r="G38" s="528">
        <v>0.26</v>
      </c>
      <c r="H38" s="529">
        <v>0.99</v>
      </c>
      <c r="I38" s="528">
        <v>1.4</v>
      </c>
      <c r="J38" s="528"/>
    </row>
    <row r="39" spans="1:10" ht="13.5">
      <c r="A39" s="511" t="s">
        <v>211</v>
      </c>
      <c r="B39" s="707">
        <v>3.01</v>
      </c>
      <c r="C39" s="707">
        <v>1.99</v>
      </c>
      <c r="D39" s="707">
        <v>1.22</v>
      </c>
      <c r="E39" s="529">
        <f>E38</f>
        <v>1.28</v>
      </c>
      <c r="F39" s="529">
        <f>F38</f>
        <v>1.01</v>
      </c>
      <c r="G39" s="529">
        <f>G38</f>
        <v>0.26</v>
      </c>
      <c r="H39" s="529">
        <f>H38</f>
        <v>0.99</v>
      </c>
      <c r="I39" s="529">
        <f>I38</f>
        <v>1.4</v>
      </c>
      <c r="J39" s="528"/>
    </row>
    <row r="40" spans="1:10" ht="13.5">
      <c r="A40" s="511" t="s">
        <v>213</v>
      </c>
      <c r="B40" s="707">
        <v>1.02</v>
      </c>
      <c r="C40" s="707">
        <v>0.66</v>
      </c>
      <c r="D40" s="707">
        <v>0.42</v>
      </c>
      <c r="E40" s="529">
        <f>E38</f>
        <v>1.28</v>
      </c>
      <c r="F40" s="529">
        <f>F38</f>
        <v>1.01</v>
      </c>
      <c r="G40" s="529">
        <f>G38</f>
        <v>0.26</v>
      </c>
      <c r="H40" s="529">
        <f>H38</f>
        <v>0.99</v>
      </c>
      <c r="I40" s="529">
        <f>I38</f>
        <v>1.4</v>
      </c>
      <c r="J40" s="593"/>
    </row>
    <row r="41" spans="1:10" ht="13.5">
      <c r="A41" s="511" t="s">
        <v>215</v>
      </c>
      <c r="B41" s="528">
        <f>B40</f>
        <v>1.02</v>
      </c>
      <c r="C41" s="528">
        <f>C40</f>
        <v>0.66</v>
      </c>
      <c r="D41" s="528">
        <f>D40</f>
        <v>0.42</v>
      </c>
      <c r="E41" s="528">
        <f>E38</f>
        <v>1.28</v>
      </c>
      <c r="F41" s="528">
        <f>F38</f>
        <v>1.01</v>
      </c>
      <c r="G41" s="528">
        <f>G38</f>
        <v>0.26</v>
      </c>
      <c r="H41" s="528">
        <f>H38</f>
        <v>0.99</v>
      </c>
      <c r="I41" s="528">
        <f>I38</f>
        <v>1.4</v>
      </c>
      <c r="J41" s="593"/>
    </row>
    <row r="42" spans="1:10" ht="13.5">
      <c r="A42" s="511" t="s">
        <v>217</v>
      </c>
      <c r="B42" s="707">
        <v>2.6</v>
      </c>
      <c r="C42" s="707">
        <v>1.19</v>
      </c>
      <c r="D42" s="707">
        <v>1.73</v>
      </c>
      <c r="E42" s="592"/>
      <c r="F42" s="593"/>
      <c r="G42" s="593"/>
      <c r="H42" s="592"/>
      <c r="I42" s="593"/>
      <c r="J42" s="593"/>
    </row>
    <row r="43" spans="1:10" ht="13.5">
      <c r="A43" s="511" t="s">
        <v>218</v>
      </c>
      <c r="B43" s="707">
        <v>0.82</v>
      </c>
      <c r="C43" s="707">
        <v>0.53</v>
      </c>
      <c r="D43" s="707">
        <v>0.34</v>
      </c>
      <c r="E43" s="592"/>
      <c r="F43" s="593"/>
      <c r="G43" s="593"/>
      <c r="H43" s="592"/>
      <c r="I43" s="593"/>
      <c r="J43" s="593"/>
    </row>
    <row r="44" spans="1:10" ht="13.5">
      <c r="A44" s="511" t="s">
        <v>219</v>
      </c>
      <c r="B44" s="528">
        <f>B38</f>
        <v>1.35</v>
      </c>
      <c r="C44" s="707">
        <f>C38</f>
        <v>0.3</v>
      </c>
      <c r="D44" s="707">
        <f>D38</f>
        <v>1.16</v>
      </c>
      <c r="E44" s="592"/>
      <c r="F44" s="593"/>
      <c r="G44" s="593"/>
      <c r="H44" s="592"/>
      <c r="I44" s="593"/>
      <c r="J44" s="593"/>
    </row>
    <row r="45" spans="1:10" ht="13.5">
      <c r="A45" s="511" t="s">
        <v>220</v>
      </c>
      <c r="B45" s="528">
        <f>B42</f>
        <v>2.6</v>
      </c>
      <c r="C45" s="707">
        <f>C42</f>
        <v>1.19</v>
      </c>
      <c r="D45" s="707">
        <f>D42</f>
        <v>1.73</v>
      </c>
      <c r="E45" s="592"/>
      <c r="F45" s="593"/>
      <c r="G45" s="593"/>
      <c r="H45" s="592"/>
      <c r="I45" s="593"/>
      <c r="J45" s="593"/>
    </row>
    <row r="46" spans="1:10" ht="13.5">
      <c r="A46" s="511" t="s">
        <v>230</v>
      </c>
      <c r="B46" s="528">
        <f>B39</f>
        <v>3.01</v>
      </c>
      <c r="C46" s="707">
        <f>C39</f>
        <v>1.99</v>
      </c>
      <c r="D46" s="707">
        <f>D39</f>
        <v>1.22</v>
      </c>
      <c r="E46" s="592"/>
      <c r="F46" s="593"/>
      <c r="G46" s="593"/>
      <c r="H46" s="592"/>
      <c r="I46" s="593"/>
      <c r="J46" s="593"/>
    </row>
    <row r="47" spans="1:10" ht="13.5">
      <c r="A47" s="511" t="s">
        <v>379</v>
      </c>
      <c r="B47" s="707">
        <v>0.9</v>
      </c>
      <c r="C47" s="707">
        <v>0.58</v>
      </c>
      <c r="D47" s="707">
        <v>0.37</v>
      </c>
      <c r="E47" s="592"/>
      <c r="F47" s="593"/>
      <c r="G47" s="593"/>
      <c r="H47" s="592"/>
      <c r="I47" s="593"/>
      <c r="J47" s="593"/>
    </row>
    <row r="48" spans="1:10" ht="13.5">
      <c r="A48" s="511" t="s">
        <v>380</v>
      </c>
      <c r="B48" s="707">
        <v>2.34</v>
      </c>
      <c r="C48" s="707">
        <v>1.07</v>
      </c>
      <c r="D48" s="707">
        <v>1.56</v>
      </c>
      <c r="E48" s="592"/>
      <c r="F48" s="593"/>
      <c r="G48" s="593"/>
      <c r="H48" s="592"/>
      <c r="I48" s="593"/>
      <c r="J48" s="593"/>
    </row>
  </sheetData>
  <sheetProtection password="CC3D" sheet="1" objects="1" scenarios="1"/>
  <printOptions/>
  <pageMargins left="0.75" right="0.75" top="1" bottom="1" header="0" footer="0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/>
  <dimension ref="A1:CV9"/>
  <sheetViews>
    <sheetView workbookViewId="0" topLeftCell="IV65536">
      <selection activeCell="A1" sqref="A1"/>
    </sheetView>
  </sheetViews>
  <sheetFormatPr defaultColWidth="11.421875" defaultRowHeight="12.75" zeroHeight="1" outlineLevelCol="2"/>
  <cols>
    <col min="1" max="1" width="0" style="0" hidden="1" customWidth="1"/>
    <col min="2" max="2" width="0" style="0" hidden="1" customWidth="1" outlineLevel="2"/>
    <col min="3" max="16384" width="0" style="0" hidden="1" customWidth="1"/>
  </cols>
  <sheetData>
    <row r="1" ht="12.75" hidden="1">
      <c r="A1" t="s">
        <v>61</v>
      </c>
    </row>
    <row r="2" spans="1:2" ht="12.75" hidden="1">
      <c r="A2" t="s">
        <v>62</v>
      </c>
      <c r="B2" t="s">
        <v>63</v>
      </c>
    </row>
    <row r="3" spans="1:2" ht="12.75" hidden="1">
      <c r="A3" t="s">
        <v>64</v>
      </c>
      <c r="B3" t="s">
        <v>465</v>
      </c>
    </row>
    <row r="4" ht="12.75" hidden="1">
      <c r="A4" t="s">
        <v>65</v>
      </c>
    </row>
    <row r="5" spans="1:2" ht="12.75" hidden="1">
      <c r="A5" t="s">
        <v>66</v>
      </c>
      <c r="B5">
        <v>1</v>
      </c>
    </row>
    <row r="6" spans="1:5" ht="12.75" hidden="1">
      <c r="A6">
        <v>1</v>
      </c>
      <c r="B6" t="s">
        <v>67</v>
      </c>
      <c r="C6" t="s">
        <v>277</v>
      </c>
      <c r="D6" t="s">
        <v>68</v>
      </c>
      <c r="E6">
        <v>99</v>
      </c>
    </row>
    <row r="7" spans="1:100" ht="12.75" hidden="1">
      <c r="A7" t="s">
        <v>69</v>
      </c>
      <c r="B7" t="s">
        <v>505</v>
      </c>
      <c r="C7" t="s">
        <v>323</v>
      </c>
      <c r="D7" t="s">
        <v>324</v>
      </c>
      <c r="E7" t="s">
        <v>325</v>
      </c>
      <c r="F7" t="s">
        <v>368</v>
      </c>
      <c r="G7" t="s">
        <v>278</v>
      </c>
      <c r="H7" t="s">
        <v>78</v>
      </c>
      <c r="I7" t="s">
        <v>369</v>
      </c>
      <c r="J7" t="s">
        <v>330</v>
      </c>
      <c r="K7" t="s">
        <v>331</v>
      </c>
      <c r="L7" t="s">
        <v>332</v>
      </c>
      <c r="M7" t="s">
        <v>279</v>
      </c>
      <c r="N7" t="s">
        <v>280</v>
      </c>
      <c r="O7" t="s">
        <v>281</v>
      </c>
      <c r="P7" t="s">
        <v>282</v>
      </c>
      <c r="Q7" t="s">
        <v>73</v>
      </c>
      <c r="R7" t="s">
        <v>336</v>
      </c>
      <c r="S7" t="s">
        <v>283</v>
      </c>
      <c r="T7" t="s">
        <v>74</v>
      </c>
      <c r="U7" t="s">
        <v>75</v>
      </c>
      <c r="V7" t="s">
        <v>76</v>
      </c>
      <c r="W7" t="s">
        <v>284</v>
      </c>
      <c r="X7" t="s">
        <v>77</v>
      </c>
      <c r="Y7" t="s">
        <v>326</v>
      </c>
      <c r="Z7" t="s">
        <v>285</v>
      </c>
      <c r="AA7" t="s">
        <v>286</v>
      </c>
      <c r="AB7" t="s">
        <v>287</v>
      </c>
      <c r="AC7" t="s">
        <v>337</v>
      </c>
      <c r="AD7" t="s">
        <v>338</v>
      </c>
      <c r="AE7" t="s">
        <v>339</v>
      </c>
      <c r="AF7" t="s">
        <v>288</v>
      </c>
      <c r="AG7" t="s">
        <v>340</v>
      </c>
      <c r="AH7" t="s">
        <v>341</v>
      </c>
      <c r="AI7" t="s">
        <v>342</v>
      </c>
      <c r="AJ7" t="s">
        <v>343</v>
      </c>
      <c r="AK7" t="s">
        <v>289</v>
      </c>
      <c r="AL7" t="s">
        <v>290</v>
      </c>
      <c r="AM7" t="s">
        <v>344</v>
      </c>
      <c r="AN7" t="s">
        <v>345</v>
      </c>
      <c r="AO7" t="s">
        <v>358</v>
      </c>
      <c r="AP7" t="s">
        <v>359</v>
      </c>
      <c r="AQ7" t="s">
        <v>79</v>
      </c>
      <c r="AR7" t="s">
        <v>360</v>
      </c>
      <c r="AS7" t="s">
        <v>361</v>
      </c>
      <c r="AT7" t="s">
        <v>291</v>
      </c>
      <c r="AU7" t="s">
        <v>362</v>
      </c>
      <c r="AV7" t="s">
        <v>292</v>
      </c>
      <c r="AW7" t="s">
        <v>293</v>
      </c>
      <c r="AX7" t="s">
        <v>363</v>
      </c>
      <c r="AY7" t="s">
        <v>294</v>
      </c>
      <c r="AZ7" t="s">
        <v>295</v>
      </c>
      <c r="BA7" t="s">
        <v>364</v>
      </c>
      <c r="BB7" t="s">
        <v>296</v>
      </c>
      <c r="BC7" t="s">
        <v>144</v>
      </c>
      <c r="BD7" t="s">
        <v>365</v>
      </c>
      <c r="BE7" t="s">
        <v>297</v>
      </c>
      <c r="BF7" t="s">
        <v>298</v>
      </c>
      <c r="BG7" t="s">
        <v>327</v>
      </c>
      <c r="BH7" t="s">
        <v>328</v>
      </c>
      <c r="BI7" t="s">
        <v>329</v>
      </c>
      <c r="BJ7" t="s">
        <v>333</v>
      </c>
      <c r="BK7" t="s">
        <v>334</v>
      </c>
      <c r="BL7" t="s">
        <v>366</v>
      </c>
      <c r="BM7" t="s">
        <v>299</v>
      </c>
      <c r="BN7" t="s">
        <v>508</v>
      </c>
      <c r="BO7" t="s">
        <v>509</v>
      </c>
      <c r="BP7" t="s">
        <v>300</v>
      </c>
      <c r="BQ7" t="s">
        <v>301</v>
      </c>
      <c r="BR7" t="s">
        <v>80</v>
      </c>
      <c r="BS7" t="s">
        <v>302</v>
      </c>
      <c r="BT7" t="s">
        <v>303</v>
      </c>
      <c r="BU7" t="s">
        <v>304</v>
      </c>
      <c r="BV7" t="s">
        <v>305</v>
      </c>
      <c r="BW7" t="s">
        <v>306</v>
      </c>
      <c r="BX7" t="s">
        <v>307</v>
      </c>
      <c r="BY7" t="s">
        <v>308</v>
      </c>
      <c r="BZ7" t="s">
        <v>309</v>
      </c>
      <c r="CA7" t="s">
        <v>310</v>
      </c>
      <c r="CB7" t="s">
        <v>311</v>
      </c>
      <c r="CC7" t="s">
        <v>312</v>
      </c>
      <c r="CD7" t="s">
        <v>313</v>
      </c>
      <c r="CE7" t="s">
        <v>314</v>
      </c>
      <c r="CF7" t="s">
        <v>315</v>
      </c>
      <c r="CG7" t="s">
        <v>316</v>
      </c>
      <c r="CH7" t="s">
        <v>317</v>
      </c>
      <c r="CI7" t="s">
        <v>318</v>
      </c>
      <c r="CJ7" t="s">
        <v>319</v>
      </c>
      <c r="CK7" t="s">
        <v>320</v>
      </c>
      <c r="CL7" t="s">
        <v>335</v>
      </c>
      <c r="CM7" t="s">
        <v>510</v>
      </c>
      <c r="CN7" t="s">
        <v>511</v>
      </c>
      <c r="CO7" t="s">
        <v>506</v>
      </c>
      <c r="CP7" t="s">
        <v>321</v>
      </c>
      <c r="CQ7" t="s">
        <v>322</v>
      </c>
      <c r="CR7" t="s">
        <v>512</v>
      </c>
      <c r="CS7" t="s">
        <v>513</v>
      </c>
      <c r="CT7" t="s">
        <v>514</v>
      </c>
      <c r="CU7" t="s">
        <v>466</v>
      </c>
      <c r="CV7" t="s">
        <v>467</v>
      </c>
    </row>
    <row r="8" spans="1:100" ht="12.75" hidden="1">
      <c r="A8" t="s">
        <v>70</v>
      </c>
      <c r="B8" t="str">
        <f>Tasación!$W$1</f>
        <v>U</v>
      </c>
      <c r="C8">
        <f>Tasación!$Y$1</f>
        <v>0</v>
      </c>
      <c r="D8">
        <f>Tasación!$E$3</f>
        <v>0</v>
      </c>
      <c r="E8">
        <f>Tasación!$P$3</f>
        <v>0</v>
      </c>
      <c r="F8">
        <f>Tasación!$Y$3</f>
        <v>0</v>
      </c>
      <c r="G8">
        <f>Tasación!$N$8</f>
        <v>0</v>
      </c>
      <c r="H8">
        <f>Tasación!$U$8</f>
        <v>0</v>
      </c>
      <c r="I8">
        <f>Tasación!$P$14</f>
        <v>0</v>
      </c>
      <c r="J8">
        <f>Tasación!$N$7</f>
        <v>0</v>
      </c>
      <c r="K8" s="706">
        <f>Tasación!$Y$7</f>
        <v>0</v>
      </c>
      <c r="L8">
        <f>Tasación!$AA$21</f>
        <v>0</v>
      </c>
      <c r="M8">
        <f>Tasación!$N$9</f>
        <v>0</v>
      </c>
      <c r="N8">
        <f>Tasación!$U$9</f>
        <v>0</v>
      </c>
      <c r="O8">
        <f>Tasación!$W$9</f>
        <v>0</v>
      </c>
      <c r="P8">
        <f>Tasación!$X$9</f>
        <v>0</v>
      </c>
      <c r="Q8">
        <f>Tasación!$AA$9</f>
        <v>0</v>
      </c>
      <c r="R8">
        <f>Tasación!$M$10</f>
        <v>0</v>
      </c>
      <c r="S8">
        <f>Tasación!$P$10</f>
        <v>0</v>
      </c>
      <c r="T8">
        <f>Tasación!$U$10</f>
        <v>0</v>
      </c>
      <c r="U8">
        <f>Tasación!$AA$10</f>
        <v>0</v>
      </c>
      <c r="V8">
        <f>Tasación!$S$11</f>
        <v>0</v>
      </c>
      <c r="W8">
        <f>Tasación!$W$11</f>
        <v>0</v>
      </c>
      <c r="X8">
        <f>Tasación!$Z$11</f>
        <v>0</v>
      </c>
      <c r="Y8">
        <f>Tasación!$N$11</f>
        <v>0</v>
      </c>
      <c r="Z8">
        <f>Tasación!$F$25</f>
        <v>0</v>
      </c>
      <c r="AA8">
        <f>Tasación!$O$25</f>
        <v>0</v>
      </c>
      <c r="AB8">
        <f>Tasación!$U$25</f>
        <v>0</v>
      </c>
      <c r="AC8">
        <f>Tasación!$Z$25</f>
        <v>0</v>
      </c>
      <c r="AD8">
        <f>Tasación!$H$26</f>
        <v>0</v>
      </c>
      <c r="AE8">
        <f>Tasación!$O$26</f>
        <v>0</v>
      </c>
      <c r="AF8">
        <f>Tasación!$Q$26</f>
        <v>0</v>
      </c>
      <c r="AG8">
        <f>Tasación!$U$26</f>
        <v>0</v>
      </c>
      <c r="AH8">
        <f>Tasación!$Z$26</f>
        <v>0</v>
      </c>
      <c r="AI8">
        <f>Tasación!$H$27</f>
        <v>0</v>
      </c>
      <c r="AJ8">
        <f>Tasación!$O$27</f>
        <v>0</v>
      </c>
      <c r="AK8">
        <f>Tasación!$U$27</f>
        <v>0</v>
      </c>
      <c r="AL8">
        <f>Tasación!$Z$27</f>
        <v>0</v>
      </c>
      <c r="AM8">
        <f>Tasación!$H$28</f>
        <v>0</v>
      </c>
      <c r="AN8">
        <f>Tasación!$O$28</f>
        <v>0</v>
      </c>
      <c r="AO8">
        <f>Tasación!$Z$28</f>
        <v>0</v>
      </c>
      <c r="AP8" s="67">
        <f>Tasación!$K$29</f>
        <v>0</v>
      </c>
      <c r="AQ8" s="66">
        <f>Tasación!$P$29</f>
        <v>0</v>
      </c>
      <c r="AR8" s="67">
        <f>Tasación!$T$29</f>
        <v>0</v>
      </c>
      <c r="AS8">
        <f>Tasación!$X$29</f>
        <v>0</v>
      </c>
      <c r="AT8" s="66">
        <f>Tasación!$Z$29</f>
        <v>0</v>
      </c>
      <c r="AU8">
        <f>Tasación!$G$30</f>
        <v>0</v>
      </c>
      <c r="AV8">
        <f>Tasación!$M$30</f>
        <v>0</v>
      </c>
      <c r="AW8" s="69">
        <f>Tasación!$V$30</f>
        <v>0</v>
      </c>
      <c r="AX8">
        <f>Tasación!$G$31</f>
        <v>0</v>
      </c>
      <c r="AY8">
        <f>Tasación!$N$31</f>
        <v>0</v>
      </c>
      <c r="AZ8">
        <f>Tasación!$T$31</f>
        <v>0</v>
      </c>
      <c r="BA8">
        <f>Tasación!$G$32</f>
        <v>0</v>
      </c>
      <c r="BB8" s="67">
        <f>Tasación!$P$32</f>
        <v>0</v>
      </c>
      <c r="BC8">
        <f>Tasación!$G$33</f>
        <v>0</v>
      </c>
      <c r="BD8">
        <f>Tasación!$N$33</f>
        <v>0</v>
      </c>
      <c r="BE8">
        <f>Tasación!$T$33</f>
        <v>0</v>
      </c>
      <c r="BF8" s="67">
        <f>Tasación!$Z$33</f>
        <v>0</v>
      </c>
      <c r="BG8">
        <f>Tasación!$E$19</f>
        <v>0</v>
      </c>
      <c r="BH8">
        <f>Tasación!$N$19</f>
        <v>0</v>
      </c>
      <c r="BI8">
        <f>Tasación!$S$19</f>
        <v>0</v>
      </c>
      <c r="BJ8">
        <f>Tasación!$X$19</f>
        <v>0</v>
      </c>
      <c r="BK8">
        <f>Tasación!$U$38</f>
        <v>0</v>
      </c>
      <c r="BL8">
        <f>Tasación!$F$38</f>
        <v>0</v>
      </c>
      <c r="BM8">
        <f>Tasación!$Z$38</f>
        <v>0</v>
      </c>
      <c r="BN8">
        <f>Edificaciones!$L$14</f>
        <v>0</v>
      </c>
      <c r="BO8">
        <f>Edificaciones!$M$6</f>
        <v>0</v>
      </c>
      <c r="BP8" s="68">
        <f>Tasación!$M$43</f>
        <v>0</v>
      </c>
      <c r="BQ8" s="68">
        <f>Tasación!$O$43</f>
        <v>0</v>
      </c>
      <c r="BR8">
        <f>Tasación!$Q$43</f>
        <v>0</v>
      </c>
      <c r="BS8" s="496">
        <f>Tasación!$T$43</f>
        <v>0</v>
      </c>
      <c r="BT8" s="496">
        <f>Tasación!$V$43</f>
        <v>0</v>
      </c>
      <c r="BU8">
        <f>Tasación!$K$45</f>
        <v>0</v>
      </c>
      <c r="BV8">
        <f>Tasación!$L$45</f>
        <v>0</v>
      </c>
      <c r="BW8">
        <f>Tasación!$M$45</f>
        <v>0</v>
      </c>
      <c r="BX8">
        <f>Tasación!$N$45</f>
        <v>0</v>
      </c>
      <c r="BY8">
        <f>Tasación!$S$45</f>
        <v>0</v>
      </c>
      <c r="BZ8">
        <f>Tasación!$O$45</f>
        <v>0</v>
      </c>
      <c r="CA8">
        <f>Edificaciones!$W$16</f>
        <v>0</v>
      </c>
      <c r="CB8">
        <f>Edificaciones!$AA$16</f>
        <v>0</v>
      </c>
      <c r="CC8" s="496">
        <f>Tasación!$T$45</f>
        <v>0</v>
      </c>
      <c r="CD8">
        <f>Tasación!$V$45</f>
        <v>0</v>
      </c>
      <c r="CE8">
        <f>Tasación!$K$46</f>
        <v>0</v>
      </c>
      <c r="CF8">
        <f>Tasación!$L$46</f>
        <v>0</v>
      </c>
      <c r="CG8">
        <f>Tasación!$M$46</f>
        <v>0</v>
      </c>
      <c r="CH8">
        <f>Tasación!$N$46</f>
        <v>0</v>
      </c>
      <c r="CI8">
        <f>Tasación!$S$46</f>
        <v>0</v>
      </c>
      <c r="CJ8">
        <f>Tasación!$O$46</f>
        <v>0</v>
      </c>
      <c r="CK8" s="496">
        <f>Tasación!$T$46</f>
        <v>0</v>
      </c>
      <c r="CL8">
        <f>Tasación!$V$46</f>
        <v>0</v>
      </c>
      <c r="CM8" s="794">
        <f>Tasación!$T$51</f>
        <v>0</v>
      </c>
      <c r="CN8">
        <f>Tasación!$V$3</f>
        <v>0</v>
      </c>
      <c r="CO8">
        <f>Tasación!$V$50</f>
        <v>0</v>
      </c>
      <c r="CP8">
        <f>Tasación!$G$53</f>
        <v>0</v>
      </c>
      <c r="CQ8" s="68">
        <f>Tasación!$V$53</f>
        <v>0</v>
      </c>
      <c r="CR8">
        <f>Tasación!$V$3</f>
        <v>0</v>
      </c>
      <c r="CS8">
        <f>Tasación!$V$3</f>
        <v>0</v>
      </c>
      <c r="CT8">
        <f>Tasación!$V$3</f>
        <v>0</v>
      </c>
      <c r="CU8">
        <f>Tasación!$T$68</f>
        <v>0</v>
      </c>
      <c r="CV8">
        <f>Tasación!$Y$68</f>
        <v>0</v>
      </c>
    </row>
    <row r="9" ht="12.75" hidden="1">
      <c r="A9" t="s">
        <v>65</v>
      </c>
    </row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Sud Americano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Piracés Schmidt</dc:creator>
  <cp:keywords/>
  <dc:description/>
  <cp:lastModifiedBy>Juan Carlos Piracés Schmidt</cp:lastModifiedBy>
  <cp:lastPrinted>2003-11-02T01:09:51Z</cp:lastPrinted>
  <dcterms:created xsi:type="dcterms:W3CDTF">2000-04-12T23:56:17Z</dcterms:created>
  <dcterms:modified xsi:type="dcterms:W3CDTF">2003-11-11T01:48:33Z</dcterms:modified>
  <cp:category/>
  <cp:version/>
  <cp:contentType/>
  <cp:contentStatus/>
</cp:coreProperties>
</file>